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llermo Rebolledo\Dropbox\0000 SOCIEDADES REBOLLEDO Y JARA\CEF-ITF CAPACITACIÓN\CURSOS CERRADOS\TUR BUS\Curso 14 y 15 de marzo 2024\"/>
    </mc:Choice>
  </mc:AlternateContent>
  <bookViews>
    <workbookView xWindow="28680" yWindow="-120" windowWidth="29040" windowHeight="15840" tabRatio="841" firstSheet="8" activeTab="16"/>
  </bookViews>
  <sheets>
    <sheet name="Hoja1" sheetId="13" state="hidden" r:id="rId1"/>
    <sheet name="Libro Ventas" sheetId="1" r:id="rId2"/>
    <sheet name="Comp Ingresos" sheetId="2" r:id="rId3"/>
    <sheet name="Aux Clientes" sheetId="4" r:id="rId4"/>
    <sheet name="Libro de Compras" sheetId="3" r:id="rId5"/>
    <sheet name="Aux Proveedores" sheetId="12" r:id="rId6"/>
    <sheet name="Costos de Rem." sheetId="6" r:id="rId7"/>
    <sheet name="Comp Egresos" sheetId="11" r:id="rId8"/>
    <sheet name="Registros Contables" sheetId="10" r:id="rId9"/>
    <sheet name="P.P.E." sheetId="14" r:id="rId10"/>
    <sheet name="Ptmo Banco" sheetId="8" r:id="rId11"/>
    <sheet name="Capital" sheetId="9" r:id="rId12"/>
    <sheet name="Balance de Columnas" sheetId="15" r:id="rId13"/>
    <sheet name="ESF" sheetId="16" r:id="rId14"/>
    <sheet name="ER" sheetId="17" r:id="rId15"/>
    <sheet name="EFE D" sheetId="18" r:id="rId16"/>
    <sheet name="EFE NDIRECTO GRS" sheetId="20" r:id="rId17"/>
    <sheet name="EFE Indirecto" sheetId="19" state="hidden" r:id="rId18"/>
  </sheets>
  <definedNames>
    <definedName name="_xlnm.Print_Area" localSheetId="16">'EFE NDIRECTO GRS'!$H$3:$M$35</definedName>
    <definedName name="_xlnm.Print_Area" localSheetId="8">'Registros Contables'!$A$2:$U$72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0" l="1"/>
  <c r="K154" i="10" l="1"/>
  <c r="O164" i="10"/>
  <c r="O163" i="10"/>
  <c r="O158" i="10"/>
  <c r="O157" i="10"/>
  <c r="K158" i="10"/>
  <c r="K157" i="10"/>
  <c r="O153" i="10"/>
  <c r="K153" i="10"/>
  <c r="O152" i="10"/>
  <c r="K152" i="10"/>
  <c r="H157" i="10"/>
  <c r="H158" i="10"/>
  <c r="H159" i="10"/>
  <c r="H160" i="10"/>
  <c r="H156" i="10"/>
  <c r="G163" i="10"/>
  <c r="G160" i="10"/>
  <c r="C160" i="10"/>
  <c r="G159" i="10"/>
  <c r="G158" i="10"/>
  <c r="G157" i="10"/>
  <c r="G156" i="10"/>
  <c r="C159" i="10"/>
  <c r="C158" i="10"/>
  <c r="C157" i="10"/>
  <c r="C156" i="10"/>
  <c r="G154" i="10"/>
  <c r="C154" i="10"/>
  <c r="G152" i="10"/>
  <c r="C152" i="10"/>
  <c r="G153" i="10"/>
  <c r="C153" i="10"/>
  <c r="J25" i="16"/>
  <c r="E25" i="16"/>
  <c r="C16" i="16"/>
  <c r="C12" i="16"/>
  <c r="H154" i="10" s="1"/>
  <c r="H169" i="10" s="1"/>
  <c r="C6" i="16"/>
  <c r="H153" i="10" s="1"/>
  <c r="H168" i="10" s="1"/>
  <c r="B49" i="16"/>
  <c r="B47" i="16"/>
  <c r="B43" i="16"/>
  <c r="B48" i="16" s="1"/>
  <c r="B44" i="16"/>
  <c r="B42" i="16"/>
  <c r="C39" i="16"/>
  <c r="C38" i="16"/>
  <c r="C43" i="16" s="1"/>
  <c r="C48" i="16" s="1"/>
  <c r="C37" i="16"/>
  <c r="C19" i="19"/>
  <c r="J22" i="19"/>
  <c r="C42" i="16" l="1"/>
  <c r="C47" i="16"/>
  <c r="H19" i="19"/>
  <c r="H20" i="19"/>
  <c r="H21" i="19"/>
  <c r="H18" i="19"/>
  <c r="C18" i="19"/>
  <c r="H17" i="19"/>
  <c r="C56" i="10"/>
  <c r="C17" i="19"/>
  <c r="C16" i="19"/>
  <c r="D29" i="19"/>
  <c r="I12" i="19"/>
  <c r="C9" i="19"/>
  <c r="C8" i="19"/>
  <c r="C7" i="19"/>
  <c r="C6" i="19"/>
  <c r="H16" i="19" s="1"/>
  <c r="B3" i="19"/>
  <c r="C41" i="18"/>
  <c r="C39" i="18"/>
  <c r="M25" i="18"/>
  <c r="C53" i="18"/>
  <c r="C48" i="18"/>
  <c r="C35" i="18"/>
  <c r="C36" i="18"/>
  <c r="C43" i="18"/>
  <c r="C45" i="18" s="1"/>
  <c r="C38" i="18"/>
  <c r="C37" i="18"/>
  <c r="C54" i="18"/>
  <c r="C47" i="18"/>
  <c r="C50" i="18" s="1"/>
  <c r="M10" i="18"/>
  <c r="M21" i="18"/>
  <c r="M22" i="18"/>
  <c r="M23" i="18"/>
  <c r="M24" i="18"/>
  <c r="M20" i="18"/>
  <c r="C6" i="18"/>
  <c r="C11" i="18" s="1"/>
  <c r="C57" i="18" s="1"/>
  <c r="S84" i="10"/>
  <c r="AA43" i="10"/>
  <c r="Y43" i="10"/>
  <c r="AA38" i="10"/>
  <c r="AA37" i="10"/>
  <c r="Y37" i="10"/>
  <c r="C31" i="16"/>
  <c r="C39" i="17"/>
  <c r="B39" i="17"/>
  <c r="B37" i="17"/>
  <c r="B36" i="17"/>
  <c r="E26" i="17"/>
  <c r="C26" i="17" s="1"/>
  <c r="E4" i="17"/>
  <c r="C4" i="17" s="1"/>
  <c r="E6" i="17"/>
  <c r="E7" i="17"/>
  <c r="E8" i="17"/>
  <c r="E14" i="17"/>
  <c r="E15" i="17"/>
  <c r="E9" i="17"/>
  <c r="E16" i="17"/>
  <c r="E17" i="17"/>
  <c r="E10" i="17"/>
  <c r="E19" i="17"/>
  <c r="E21" i="17"/>
  <c r="E25" i="17"/>
  <c r="C25" i="17" s="1"/>
  <c r="E30" i="17"/>
  <c r="C30" i="17" s="1"/>
  <c r="C37" i="17" s="1"/>
  <c r="D16" i="17"/>
  <c r="D30" i="17"/>
  <c r="D26" i="17"/>
  <c r="D25" i="17"/>
  <c r="B25" i="17" s="1"/>
  <c r="D21" i="17"/>
  <c r="D19" i="17"/>
  <c r="D10" i="17"/>
  <c r="D17" i="17"/>
  <c r="D9" i="17"/>
  <c r="D8" i="17"/>
  <c r="D7" i="17"/>
  <c r="D6" i="17"/>
  <c r="D15" i="17"/>
  <c r="D14" i="17"/>
  <c r="D4" i="17"/>
  <c r="J22" i="16"/>
  <c r="J21" i="16"/>
  <c r="J16" i="16"/>
  <c r="H16" i="16" s="1"/>
  <c r="P157" i="10" s="1"/>
  <c r="J12" i="16"/>
  <c r="H12" i="16" s="1"/>
  <c r="P154" i="10" s="1"/>
  <c r="P169" i="10" s="1"/>
  <c r="J11" i="16"/>
  <c r="J10" i="16"/>
  <c r="J9" i="16"/>
  <c r="J8" i="16"/>
  <c r="H6" i="16" s="1"/>
  <c r="P153" i="10" s="1"/>
  <c r="P168" i="10" s="1"/>
  <c r="J7" i="16"/>
  <c r="J6" i="16"/>
  <c r="J4" i="16"/>
  <c r="H21" i="16"/>
  <c r="P158" i="10" s="1"/>
  <c r="H4" i="16"/>
  <c r="P152" i="10" s="1"/>
  <c r="I22" i="16"/>
  <c r="I21" i="16"/>
  <c r="G21" i="16" s="1"/>
  <c r="I16" i="16"/>
  <c r="G16" i="16" s="1"/>
  <c r="I4" i="16"/>
  <c r="E13" i="16"/>
  <c r="D13" i="16"/>
  <c r="I12" i="16"/>
  <c r="I11" i="16"/>
  <c r="I10" i="16"/>
  <c r="I9" i="16"/>
  <c r="I8" i="16"/>
  <c r="I7" i="16"/>
  <c r="I6" i="16"/>
  <c r="E20" i="16"/>
  <c r="E19" i="16"/>
  <c r="E18" i="16"/>
  <c r="E17" i="16"/>
  <c r="E16" i="16"/>
  <c r="E12" i="16"/>
  <c r="E7" i="16"/>
  <c r="E6" i="16"/>
  <c r="E5" i="16"/>
  <c r="E4" i="16"/>
  <c r="D7" i="16"/>
  <c r="D20" i="16"/>
  <c r="D19" i="16"/>
  <c r="D18" i="16"/>
  <c r="D17" i="16"/>
  <c r="D16" i="16"/>
  <c r="D12" i="16"/>
  <c r="D6" i="16"/>
  <c r="D5" i="16"/>
  <c r="D4" i="16"/>
  <c r="B4" i="16" s="1"/>
  <c r="B5" i="16" s="1"/>
  <c r="K45" i="15"/>
  <c r="I45" i="15"/>
  <c r="J42" i="15"/>
  <c r="I42" i="15"/>
  <c r="G45" i="15"/>
  <c r="E45" i="15"/>
  <c r="E43" i="15"/>
  <c r="F43" i="15"/>
  <c r="G43" i="15"/>
  <c r="H43" i="15"/>
  <c r="I43" i="15"/>
  <c r="J43" i="15"/>
  <c r="K43" i="15"/>
  <c r="D43" i="15"/>
  <c r="E41" i="15"/>
  <c r="F41" i="15"/>
  <c r="G41" i="15"/>
  <c r="H41" i="15"/>
  <c r="I41" i="15"/>
  <c r="J41" i="15"/>
  <c r="K41" i="15"/>
  <c r="D41" i="15"/>
  <c r="C95" i="10"/>
  <c r="H95" i="10" s="1"/>
  <c r="H96" i="10" s="1"/>
  <c r="H98" i="10" s="1"/>
  <c r="S105" i="10"/>
  <c r="S106" i="10"/>
  <c r="T106" i="10"/>
  <c r="S107" i="10"/>
  <c r="T107" i="10"/>
  <c r="S108" i="10"/>
  <c r="T108" i="10"/>
  <c r="T109" i="10"/>
  <c r="T110" i="10"/>
  <c r="S111" i="10"/>
  <c r="T111" i="10"/>
  <c r="S112" i="10"/>
  <c r="T112" i="10"/>
  <c r="S113" i="10"/>
  <c r="T113" i="10"/>
  <c r="T114" i="10"/>
  <c r="T115" i="10"/>
  <c r="T116" i="10"/>
  <c r="T117" i="10"/>
  <c r="S118" i="10"/>
  <c r="T118" i="10"/>
  <c r="S119" i="10"/>
  <c r="T119" i="10"/>
  <c r="T120" i="10"/>
  <c r="T121" i="10"/>
  <c r="T122" i="10"/>
  <c r="S123" i="10"/>
  <c r="T123" i="10"/>
  <c r="S124" i="10"/>
  <c r="T124" i="10"/>
  <c r="S125" i="10"/>
  <c r="T125" i="10"/>
  <c r="S126" i="10"/>
  <c r="T126" i="10"/>
  <c r="S127" i="10"/>
  <c r="T127" i="10"/>
  <c r="S128" i="10"/>
  <c r="T128" i="10"/>
  <c r="S129" i="10"/>
  <c r="T129" i="10"/>
  <c r="T130" i="10"/>
  <c r="S131" i="10"/>
  <c r="T131" i="10"/>
  <c r="T132" i="10"/>
  <c r="S133" i="10"/>
  <c r="T133" i="10"/>
  <c r="T134" i="10"/>
  <c r="S135" i="10"/>
  <c r="T135" i="10"/>
  <c r="T136" i="10"/>
  <c r="S137" i="10"/>
  <c r="T137" i="10"/>
  <c r="S139" i="10"/>
  <c r="T139" i="10"/>
  <c r="S104" i="10"/>
  <c r="T104" i="10"/>
  <c r="P105" i="10"/>
  <c r="P109" i="10"/>
  <c r="P110" i="10"/>
  <c r="P111" i="10"/>
  <c r="P113" i="10"/>
  <c r="P114" i="10"/>
  <c r="P115" i="10"/>
  <c r="P116" i="10"/>
  <c r="P117" i="10"/>
  <c r="P118" i="10"/>
  <c r="P119" i="10"/>
  <c r="P120" i="10"/>
  <c r="P121" i="10"/>
  <c r="P122" i="10"/>
  <c r="P127" i="10"/>
  <c r="P128" i="10"/>
  <c r="P130" i="10"/>
  <c r="P132" i="10"/>
  <c r="P133" i="10"/>
  <c r="P134" i="10"/>
  <c r="P136" i="10"/>
  <c r="P138" i="10"/>
  <c r="P139" i="10"/>
  <c r="P104" i="10"/>
  <c r="O105" i="10"/>
  <c r="O106" i="10"/>
  <c r="O107" i="10"/>
  <c r="O108" i="10"/>
  <c r="O109" i="10"/>
  <c r="O110" i="10"/>
  <c r="O112" i="10"/>
  <c r="O114" i="10"/>
  <c r="O115" i="10"/>
  <c r="O116" i="10"/>
  <c r="O117" i="10"/>
  <c r="O120" i="10"/>
  <c r="O121" i="10"/>
  <c r="O122" i="10"/>
  <c r="O123" i="10"/>
  <c r="O124" i="10"/>
  <c r="O125" i="10"/>
  <c r="O126" i="10"/>
  <c r="O130" i="10"/>
  <c r="O131" i="10"/>
  <c r="O132" i="10"/>
  <c r="O134" i="10"/>
  <c r="O135" i="10"/>
  <c r="O136" i="10"/>
  <c r="O138" i="10"/>
  <c r="S81" i="10"/>
  <c r="S82" i="10" s="1"/>
  <c r="G133" i="10" s="1"/>
  <c r="K98" i="10"/>
  <c r="P95" i="10"/>
  <c r="T4" i="10"/>
  <c r="G138" i="10"/>
  <c r="C138" i="10"/>
  <c r="C137" i="10"/>
  <c r="C136" i="10"/>
  <c r="C135" i="10"/>
  <c r="C134" i="10"/>
  <c r="T96" i="10"/>
  <c r="H138" i="10" s="1"/>
  <c r="S96" i="10"/>
  <c r="P96" i="10"/>
  <c r="H137" i="10" s="1"/>
  <c r="O96" i="10"/>
  <c r="G137" i="10" s="1"/>
  <c r="G96" i="10"/>
  <c r="G135" i="10" s="1"/>
  <c r="C96" i="10"/>
  <c r="G134" i="10" s="1"/>
  <c r="K96" i="10"/>
  <c r="G136" i="10" s="1"/>
  <c r="L96" i="10"/>
  <c r="H136" i="10" s="1"/>
  <c r="D96" i="10"/>
  <c r="H134" i="10" s="1"/>
  <c r="T12" i="10"/>
  <c r="T14" i="10" s="1"/>
  <c r="K80" i="10"/>
  <c r="K82" i="10" s="1"/>
  <c r="G131" i="10" s="1"/>
  <c r="M81" i="10"/>
  <c r="AA24" i="10"/>
  <c r="P10" i="10"/>
  <c r="AA23" i="10"/>
  <c r="G3" i="9"/>
  <c r="AB27" i="10"/>
  <c r="E14" i="8"/>
  <c r="O81" i="10"/>
  <c r="L81" i="10" s="1"/>
  <c r="E10" i="8"/>
  <c r="E9" i="8"/>
  <c r="E5" i="8"/>
  <c r="E7" i="8"/>
  <c r="L74" i="10" s="1"/>
  <c r="F3" i="8"/>
  <c r="E3" i="8"/>
  <c r="E81" i="10"/>
  <c r="G81" i="10"/>
  <c r="D81" i="10" s="1"/>
  <c r="D74" i="10"/>
  <c r="K18" i="10"/>
  <c r="S32" i="10"/>
  <c r="S60" i="10"/>
  <c r="S68" i="10" s="1"/>
  <c r="O60" i="10"/>
  <c r="O68" i="10" s="1"/>
  <c r="G127" i="10" s="1"/>
  <c r="K31" i="14"/>
  <c r="K30" i="14"/>
  <c r="K29" i="14"/>
  <c r="K28" i="14"/>
  <c r="K26" i="14"/>
  <c r="K24" i="14"/>
  <c r="K22" i="14"/>
  <c r="K21" i="14"/>
  <c r="K20" i="14"/>
  <c r="K19" i="14"/>
  <c r="K18" i="14"/>
  <c r="K17" i="14"/>
  <c r="I29" i="14"/>
  <c r="I28" i="14"/>
  <c r="I22" i="14"/>
  <c r="I21" i="14"/>
  <c r="I20" i="14"/>
  <c r="I19" i="14"/>
  <c r="I18" i="14"/>
  <c r="I24" i="14"/>
  <c r="I26" i="14" s="1"/>
  <c r="H31" i="14"/>
  <c r="H30" i="14"/>
  <c r="H29" i="14"/>
  <c r="H28" i="14"/>
  <c r="H26" i="14"/>
  <c r="J24" i="14"/>
  <c r="H24" i="14"/>
  <c r="J22" i="14"/>
  <c r="J21" i="14"/>
  <c r="J20" i="14"/>
  <c r="J19" i="14"/>
  <c r="J18" i="14"/>
  <c r="I17" i="14"/>
  <c r="H22" i="14"/>
  <c r="C22" i="14"/>
  <c r="C20" i="14"/>
  <c r="H20" i="14"/>
  <c r="G22" i="14"/>
  <c r="G20" i="14"/>
  <c r="G19" i="14"/>
  <c r="G18" i="14"/>
  <c r="G21" i="14"/>
  <c r="E21" i="14"/>
  <c r="E19" i="14"/>
  <c r="E18" i="14"/>
  <c r="E17" i="14"/>
  <c r="I11" i="14"/>
  <c r="J11" i="14"/>
  <c r="K11" i="14"/>
  <c r="H11" i="14"/>
  <c r="K7" i="14"/>
  <c r="K8" i="14"/>
  <c r="K9" i="14"/>
  <c r="K6" i="14"/>
  <c r="J8" i="14"/>
  <c r="J9" i="14"/>
  <c r="J7" i="14"/>
  <c r="I8" i="14"/>
  <c r="I9" i="14"/>
  <c r="I7" i="14"/>
  <c r="G8" i="14"/>
  <c r="G9" i="14"/>
  <c r="G7" i="14"/>
  <c r="E4" i="14"/>
  <c r="E15" i="14"/>
  <c r="D21" i="14"/>
  <c r="D22" i="14" s="1"/>
  <c r="D19" i="14"/>
  <c r="D18" i="14"/>
  <c r="D9" i="14"/>
  <c r="D8" i="14"/>
  <c r="D7" i="14"/>
  <c r="M66" i="10"/>
  <c r="C4" i="10"/>
  <c r="P18" i="10"/>
  <c r="H144" i="10" s="1"/>
  <c r="H114" i="10"/>
  <c r="H120" i="10"/>
  <c r="H121" i="10"/>
  <c r="G129" i="10"/>
  <c r="C139" i="10"/>
  <c r="C133" i="10"/>
  <c r="C132" i="10"/>
  <c r="C131" i="10"/>
  <c r="C130" i="10"/>
  <c r="C129" i="10"/>
  <c r="T82" i="10"/>
  <c r="H133" i="10" s="1"/>
  <c r="P82" i="10"/>
  <c r="H132" i="10" s="1"/>
  <c r="O82" i="10"/>
  <c r="G132" i="10" s="1"/>
  <c r="C82" i="10"/>
  <c r="H82" i="10"/>
  <c r="H130" i="10" s="1"/>
  <c r="C128" i="10"/>
  <c r="C127" i="10"/>
  <c r="C126" i="10"/>
  <c r="G107" i="10"/>
  <c r="C125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H66" i="10"/>
  <c r="H68" i="10" s="1"/>
  <c r="D66" i="10"/>
  <c r="D68" i="10" s="1"/>
  <c r="H124" i="10" s="1"/>
  <c r="C59" i="10"/>
  <c r="C124" i="10" s="1"/>
  <c r="T52" i="10"/>
  <c r="T54" i="10" s="1"/>
  <c r="T56" i="10" s="1"/>
  <c r="S45" i="10"/>
  <c r="C123" i="10" s="1"/>
  <c r="T68" i="10"/>
  <c r="H128" i="10" s="1"/>
  <c r="P68" i="10"/>
  <c r="H127" i="10" s="1"/>
  <c r="K68" i="10"/>
  <c r="G126" i="10" s="1"/>
  <c r="C68" i="10"/>
  <c r="G124" i="10" s="1"/>
  <c r="O52" i="10"/>
  <c r="O54" i="10" s="1"/>
  <c r="K52" i="10"/>
  <c r="G121" i="10" s="1"/>
  <c r="O45" i="10"/>
  <c r="C122" i="10" s="1"/>
  <c r="K45" i="10"/>
  <c r="C121" i="10" s="1"/>
  <c r="G52" i="10"/>
  <c r="G54" i="10" s="1"/>
  <c r="G56" i="10" s="1"/>
  <c r="G45" i="10"/>
  <c r="C120" i="10" s="1"/>
  <c r="I7" i="3"/>
  <c r="AC26" i="10"/>
  <c r="AC22" i="10"/>
  <c r="AC23" i="10"/>
  <c r="AC24" i="10"/>
  <c r="AC25" i="10"/>
  <c r="AC21" i="10"/>
  <c r="H6" i="11"/>
  <c r="AC6" i="10" s="1"/>
  <c r="H7" i="11"/>
  <c r="AC7" i="10" s="1"/>
  <c r="H5" i="11"/>
  <c r="AC5" i="10" s="1"/>
  <c r="F30" i="11"/>
  <c r="AB26" i="10" s="1"/>
  <c r="C15" i="6"/>
  <c r="C14" i="6"/>
  <c r="C11" i="6"/>
  <c r="C8" i="6"/>
  <c r="D10" i="10"/>
  <c r="D9" i="10"/>
  <c r="D8" i="10"/>
  <c r="D7" i="10"/>
  <c r="D6" i="10"/>
  <c r="D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5" i="10"/>
  <c r="AA33" i="10" s="1"/>
  <c r="H23" i="2"/>
  <c r="H19" i="2"/>
  <c r="H16" i="2"/>
  <c r="H14" i="2"/>
  <c r="H10" i="2"/>
  <c r="H6" i="2"/>
  <c r="C52" i="10"/>
  <c r="L66" i="10" s="1"/>
  <c r="L68" i="10" s="1"/>
  <c r="C51" i="10"/>
  <c r="AF25" i="10" s="1"/>
  <c r="C50" i="10"/>
  <c r="AF24" i="10" s="1"/>
  <c r="C49" i="10"/>
  <c r="AF23" i="10" s="1"/>
  <c r="C48" i="10"/>
  <c r="AF22" i="10" s="1"/>
  <c r="C47" i="10"/>
  <c r="AF21" i="10" s="1"/>
  <c r="C38" i="10"/>
  <c r="C24" i="10"/>
  <c r="S38" i="10"/>
  <c r="O37" i="10"/>
  <c r="O40" i="10" s="1"/>
  <c r="O42" i="10" s="1"/>
  <c r="G37" i="10"/>
  <c r="F37" i="10"/>
  <c r="N37" i="10" s="1"/>
  <c r="F22" i="10"/>
  <c r="F36" i="10" s="1"/>
  <c r="J36" i="10" s="1"/>
  <c r="G22" i="10"/>
  <c r="K36" i="10"/>
  <c r="K40" i="10" s="1"/>
  <c r="K42" i="10" s="1"/>
  <c r="G36" i="10"/>
  <c r="S54" i="10"/>
  <c r="G123" i="10" s="1"/>
  <c r="P54" i="10"/>
  <c r="H122" i="10" s="1"/>
  <c r="L54" i="10"/>
  <c r="H54" i="10"/>
  <c r="D54" i="10"/>
  <c r="H119" i="10" s="1"/>
  <c r="T40" i="10"/>
  <c r="H118" i="10" s="1"/>
  <c r="P40" i="10"/>
  <c r="H117" i="10" s="1"/>
  <c r="L40" i="10"/>
  <c r="H116" i="10" s="1"/>
  <c r="H40" i="10"/>
  <c r="H115" i="10" s="1"/>
  <c r="D40" i="10"/>
  <c r="L26" i="10"/>
  <c r="H111" i="10" s="1"/>
  <c r="H26" i="10"/>
  <c r="H110" i="10" s="1"/>
  <c r="D26" i="10"/>
  <c r="H109" i="10" s="1"/>
  <c r="S12" i="10"/>
  <c r="G108" i="10" s="1"/>
  <c r="P12" i="10"/>
  <c r="P14" i="10" s="1"/>
  <c r="O12" i="10"/>
  <c r="G12" i="10"/>
  <c r="G105" i="10" s="1"/>
  <c r="B35" i="10"/>
  <c r="B21" i="10"/>
  <c r="C35" i="10"/>
  <c r="C21" i="10"/>
  <c r="J20" i="10"/>
  <c r="B20" i="10"/>
  <c r="C20" i="10"/>
  <c r="K20" i="10"/>
  <c r="F19" i="10"/>
  <c r="B19" i="10"/>
  <c r="R20" i="10"/>
  <c r="R21" i="10"/>
  <c r="R22" i="10"/>
  <c r="R23" i="10"/>
  <c r="R24" i="10"/>
  <c r="R19" i="10"/>
  <c r="I6" i="10"/>
  <c r="M6" i="10" s="1"/>
  <c r="I7" i="10"/>
  <c r="M7" i="10" s="1"/>
  <c r="I8" i="10"/>
  <c r="M8" i="10" s="1"/>
  <c r="I9" i="10"/>
  <c r="M9" i="10" s="1"/>
  <c r="I10" i="10"/>
  <c r="M10" i="10" s="1"/>
  <c r="I5" i="10"/>
  <c r="M5" i="10" s="1"/>
  <c r="G19" i="10"/>
  <c r="C19" i="10"/>
  <c r="S24" i="10"/>
  <c r="S23" i="10"/>
  <c r="T23" i="10" s="1"/>
  <c r="S22" i="10"/>
  <c r="T22" i="10" s="1"/>
  <c r="S21" i="10"/>
  <c r="T21" i="10" s="1"/>
  <c r="S20" i="10"/>
  <c r="T20" i="10" s="1"/>
  <c r="S19" i="10"/>
  <c r="T19" i="10" s="1"/>
  <c r="P24" i="10"/>
  <c r="P23" i="10"/>
  <c r="P22" i="10"/>
  <c r="P21" i="10"/>
  <c r="P20" i="10"/>
  <c r="P19" i="10"/>
  <c r="E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C38" i="17" l="1"/>
  <c r="B38" i="17"/>
  <c r="C10" i="19"/>
  <c r="P163" i="10"/>
  <c r="P167" i="10"/>
  <c r="C44" i="16"/>
  <c r="C49" i="16" s="1"/>
  <c r="G66" i="10"/>
  <c r="G68" i="10" s="1"/>
  <c r="H70" i="10" s="1"/>
  <c r="H37" i="17"/>
  <c r="B30" i="16"/>
  <c r="C52" i="18"/>
  <c r="E32" i="17"/>
  <c r="C14" i="17"/>
  <c r="C6" i="17"/>
  <c r="C12" i="17" s="1"/>
  <c r="T98" i="10"/>
  <c r="S40" i="10"/>
  <c r="S42" i="10" s="1"/>
  <c r="P98" i="10"/>
  <c r="H25" i="16"/>
  <c r="C4" i="16"/>
  <c r="H135" i="10"/>
  <c r="C98" i="10"/>
  <c r="K138" i="10"/>
  <c r="S138" i="10" s="1"/>
  <c r="K135" i="10"/>
  <c r="L135" i="10"/>
  <c r="P135" i="10" s="1"/>
  <c r="K133" i="10"/>
  <c r="O133" i="10" s="1"/>
  <c r="L133" i="10"/>
  <c r="K136" i="10"/>
  <c r="S136" i="10" s="1"/>
  <c r="L136" i="10"/>
  <c r="K137" i="10"/>
  <c r="O137" i="10" s="1"/>
  <c r="L137" i="10"/>
  <c r="P137" i="10" s="1"/>
  <c r="K134" i="10"/>
  <c r="S134" i="10" s="1"/>
  <c r="L134" i="10"/>
  <c r="G139" i="10"/>
  <c r="K121" i="10"/>
  <c r="S121" i="10" s="1"/>
  <c r="L138" i="10"/>
  <c r="T138" i="10" s="1"/>
  <c r="K54" i="10"/>
  <c r="K56" i="10" s="1"/>
  <c r="D82" i="10"/>
  <c r="H129" i="10" s="1"/>
  <c r="O84" i="10"/>
  <c r="D12" i="10"/>
  <c r="H104" i="10" s="1"/>
  <c r="D70" i="10"/>
  <c r="K124" i="10"/>
  <c r="L124" i="10"/>
  <c r="P124" i="10" s="1"/>
  <c r="H126" i="10"/>
  <c r="K126" i="10" s="1"/>
  <c r="L70" i="10"/>
  <c r="G128" i="10"/>
  <c r="K128" i="10" s="1"/>
  <c r="O128" i="10" s="1"/>
  <c r="S70" i="10"/>
  <c r="D84" i="10"/>
  <c r="H125" i="10"/>
  <c r="K26" i="10"/>
  <c r="K28" i="10" s="1"/>
  <c r="O70" i="10"/>
  <c r="C40" i="10"/>
  <c r="C42" i="10" s="1"/>
  <c r="H123" i="10"/>
  <c r="L121" i="10"/>
  <c r="L82" i="10"/>
  <c r="L84" i="10" s="1"/>
  <c r="G82" i="10"/>
  <c r="H107" i="10"/>
  <c r="K132" i="10"/>
  <c r="S132" i="10" s="1"/>
  <c r="L132" i="10"/>
  <c r="H108" i="10"/>
  <c r="P108" i="10" s="1"/>
  <c r="K127" i="10"/>
  <c r="O127" i="10" s="1"/>
  <c r="L127" i="10"/>
  <c r="D20" i="14"/>
  <c r="O56" i="10"/>
  <c r="G122" i="10"/>
  <c r="G116" i="10"/>
  <c r="G120" i="10"/>
  <c r="G40" i="10"/>
  <c r="G117" i="10"/>
  <c r="C26" i="10"/>
  <c r="G111" i="10"/>
  <c r="G26" i="10"/>
  <c r="C54" i="10"/>
  <c r="T26" i="10"/>
  <c r="H113" i="10" s="1"/>
  <c r="S26" i="10"/>
  <c r="P26" i="10"/>
  <c r="K20" i="1"/>
  <c r="K15" i="1"/>
  <c r="K12" i="1"/>
  <c r="K9" i="1"/>
  <c r="K4" i="1"/>
  <c r="C25" i="16" l="1"/>
  <c r="H26" i="16" s="1"/>
  <c r="H152" i="10"/>
  <c r="G125" i="10"/>
  <c r="K37" i="17"/>
  <c r="C33" i="16"/>
  <c r="C32" i="16" s="1"/>
  <c r="C56" i="18"/>
  <c r="C58" i="18" s="1"/>
  <c r="C23" i="17"/>
  <c r="F23" i="17" s="1"/>
  <c r="F12" i="17"/>
  <c r="K107" i="10"/>
  <c r="P107" i="10"/>
  <c r="G118" i="10"/>
  <c r="K118" i="10" s="1"/>
  <c r="O118" i="10" s="1"/>
  <c r="K129" i="10"/>
  <c r="O129" i="10" s="1"/>
  <c r="L129" i="10"/>
  <c r="P129" i="10" s="1"/>
  <c r="L128" i="10"/>
  <c r="L107" i="10"/>
  <c r="H131" i="10"/>
  <c r="K116" i="10"/>
  <c r="S116" i="10" s="1"/>
  <c r="L116" i="10"/>
  <c r="G130" i="10"/>
  <c r="G84" i="10"/>
  <c r="L126" i="10"/>
  <c r="P126" i="10" s="1"/>
  <c r="K122" i="10"/>
  <c r="S122" i="10" s="1"/>
  <c r="L122" i="10"/>
  <c r="K117" i="10"/>
  <c r="S117" i="10" s="1"/>
  <c r="L117" i="10"/>
  <c r="K125" i="10"/>
  <c r="L125" i="10"/>
  <c r="P125" i="10" s="1"/>
  <c r="G114" i="10"/>
  <c r="K120" i="10"/>
  <c r="S120" i="10" s="1"/>
  <c r="L120" i="10"/>
  <c r="K123" i="10"/>
  <c r="L123" i="10"/>
  <c r="P123" i="10" s="1"/>
  <c r="K108" i="10"/>
  <c r="L108" i="10"/>
  <c r="L111" i="10"/>
  <c r="K111" i="10"/>
  <c r="O111" i="10" s="1"/>
  <c r="H112" i="10"/>
  <c r="G119" i="10"/>
  <c r="C28" i="10"/>
  <c r="G109" i="10"/>
  <c r="G28" i="10"/>
  <c r="G110" i="10"/>
  <c r="S28" i="10"/>
  <c r="G113" i="10"/>
  <c r="G42" i="10"/>
  <c r="G115" i="10"/>
  <c r="H10" i="10"/>
  <c r="H9" i="10"/>
  <c r="H8" i="10"/>
  <c r="H7" i="10"/>
  <c r="H6" i="10"/>
  <c r="H5" i="10"/>
  <c r="G9" i="13"/>
  <c r="F9" i="13"/>
  <c r="C28" i="17" l="1"/>
  <c r="H167" i="10"/>
  <c r="H163" i="10"/>
  <c r="P164" i="10" s="1"/>
  <c r="C32" i="17"/>
  <c r="D12" i="19" s="1"/>
  <c r="F28" i="17"/>
  <c r="G30" i="17"/>
  <c r="L118" i="10"/>
  <c r="K113" i="10"/>
  <c r="O113" i="10" s="1"/>
  <c r="L113" i="10"/>
  <c r="K115" i="10"/>
  <c r="S115" i="10" s="1"/>
  <c r="L115" i="10"/>
  <c r="K110" i="10"/>
  <c r="S110" i="10" s="1"/>
  <c r="L110" i="10"/>
  <c r="K109" i="10"/>
  <c r="S109" i="10" s="1"/>
  <c r="S141" i="10" s="1"/>
  <c r="L109" i="10"/>
  <c r="L130" i="10"/>
  <c r="K130" i="10"/>
  <c r="S130" i="10" s="1"/>
  <c r="K114" i="10"/>
  <c r="S114" i="10" s="1"/>
  <c r="L114" i="10"/>
  <c r="L131" i="10"/>
  <c r="P131" i="10" s="1"/>
  <c r="K131" i="10"/>
  <c r="K119" i="10"/>
  <c r="O119" i="10" s="1"/>
  <c r="L119" i="10"/>
  <c r="H12" i="10"/>
  <c r="H6" i="13"/>
  <c r="G5" i="13"/>
  <c r="I4" i="1"/>
  <c r="I6" i="1"/>
  <c r="E14" i="12"/>
  <c r="F7" i="11"/>
  <c r="AB7" i="10" s="1"/>
  <c r="F6" i="11"/>
  <c r="AB6" i="10" s="1"/>
  <c r="F5" i="11"/>
  <c r="J9" i="12"/>
  <c r="J10" i="12"/>
  <c r="J8" i="12"/>
  <c r="E14" i="4"/>
  <c r="I20" i="1"/>
  <c r="I15" i="1"/>
  <c r="I12" i="1"/>
  <c r="I9" i="1"/>
  <c r="G22" i="1"/>
  <c r="D26" i="19" l="1"/>
  <c r="AB5" i="10"/>
  <c r="J7" i="11"/>
  <c r="O19" i="10" s="1"/>
  <c r="F32" i="17"/>
  <c r="C36" i="17"/>
  <c r="C40" i="17" s="1"/>
  <c r="H14" i="10"/>
  <c r="H105" i="10"/>
  <c r="I22" i="1"/>
  <c r="I9" i="11"/>
  <c r="I10" i="11"/>
  <c r="I11" i="11"/>
  <c r="I12" i="11"/>
  <c r="I14" i="11"/>
  <c r="I15" i="11"/>
  <c r="I16" i="11"/>
  <c r="I18" i="11"/>
  <c r="I19" i="11"/>
  <c r="I20" i="11"/>
  <c r="I8" i="11"/>
  <c r="H9" i="11"/>
  <c r="AC9" i="10" s="1"/>
  <c r="H10" i="11"/>
  <c r="AC10" i="10" s="1"/>
  <c r="H11" i="11"/>
  <c r="AC11" i="10" s="1"/>
  <c r="H12" i="11"/>
  <c r="AC12" i="10" s="1"/>
  <c r="H14" i="11"/>
  <c r="AC14" i="10" s="1"/>
  <c r="H15" i="11"/>
  <c r="AC15" i="10" s="1"/>
  <c r="H16" i="11"/>
  <c r="AC16" i="10" s="1"/>
  <c r="H17" i="11"/>
  <c r="AC17" i="10" s="1"/>
  <c r="H18" i="11"/>
  <c r="AC18" i="10" s="1"/>
  <c r="H19" i="11"/>
  <c r="AC19" i="10" s="1"/>
  <c r="H20" i="11"/>
  <c r="AC20" i="10" s="1"/>
  <c r="H8" i="11"/>
  <c r="AC8" i="10" s="1"/>
  <c r="J11" i="12"/>
  <c r="I9" i="12"/>
  <c r="I10" i="12"/>
  <c r="I8" i="12"/>
  <c r="J7" i="12"/>
  <c r="J6" i="12"/>
  <c r="I7" i="12"/>
  <c r="I6" i="12"/>
  <c r="C10" i="12"/>
  <c r="C9" i="12"/>
  <c r="C8" i="12"/>
  <c r="C7" i="12"/>
  <c r="C6" i="12"/>
  <c r="H6" i="12" s="1"/>
  <c r="B10" i="12"/>
  <c r="B9" i="12"/>
  <c r="G7" i="12" s="1"/>
  <c r="B8" i="12"/>
  <c r="B7" i="12"/>
  <c r="B6" i="12"/>
  <c r="G6" i="12" s="1"/>
  <c r="E11" i="12"/>
  <c r="F40" i="17" l="1"/>
  <c r="H12" i="19"/>
  <c r="L105" i="10"/>
  <c r="T105" i="10" s="1"/>
  <c r="T141" i="10" s="1"/>
  <c r="T142" i="10" s="1"/>
  <c r="K105" i="10"/>
  <c r="H7" i="12"/>
  <c r="D17" i="3"/>
  <c r="D19" i="3"/>
  <c r="D9" i="3"/>
  <c r="E22" i="1"/>
  <c r="F10" i="2"/>
  <c r="F11" i="2"/>
  <c r="F12" i="2"/>
  <c r="F13" i="2"/>
  <c r="F14" i="2"/>
  <c r="F15" i="2"/>
  <c r="F16" i="2"/>
  <c r="F17" i="2"/>
  <c r="F18" i="2"/>
  <c r="F19" i="2"/>
  <c r="F20" i="2"/>
  <c r="F21" i="2"/>
  <c r="G11" i="2"/>
  <c r="G9" i="2"/>
  <c r="F9" i="2"/>
  <c r="C8" i="2"/>
  <c r="C7" i="2"/>
  <c r="C6" i="2"/>
  <c r="I10" i="4"/>
  <c r="I9" i="4"/>
  <c r="I8" i="4"/>
  <c r="G10" i="4"/>
  <c r="G9" i="4"/>
  <c r="G8" i="4"/>
  <c r="I7" i="4"/>
  <c r="J7" i="4"/>
  <c r="I6" i="4"/>
  <c r="E8" i="4"/>
  <c r="E7" i="4"/>
  <c r="E6" i="4"/>
  <c r="J6" i="4" s="1"/>
  <c r="B9" i="4"/>
  <c r="G7" i="4" s="1"/>
  <c r="B8" i="4"/>
  <c r="B7" i="4"/>
  <c r="B6" i="4"/>
  <c r="G6" i="4" s="1"/>
  <c r="C9" i="4"/>
  <c r="H7" i="4" s="1"/>
  <c r="C6" i="4"/>
  <c r="C7" i="4" s="1"/>
  <c r="C8" i="4" s="1"/>
  <c r="G7" i="2" s="1"/>
  <c r="C10" i="1"/>
  <c r="G16" i="2" s="1"/>
  <c r="F19" i="1"/>
  <c r="H19" i="1" s="1"/>
  <c r="F20" i="1"/>
  <c r="H20" i="1" s="1"/>
  <c r="C4" i="1"/>
  <c r="E21" i="3"/>
  <c r="F19" i="3"/>
  <c r="G19" i="3" s="1"/>
  <c r="C19" i="3"/>
  <c r="F18" i="3"/>
  <c r="G18" i="3" s="1"/>
  <c r="F17" i="3"/>
  <c r="G17" i="3" s="1"/>
  <c r="C17" i="3"/>
  <c r="F16" i="3"/>
  <c r="G16" i="3" s="1"/>
  <c r="F20" i="11" s="1"/>
  <c r="AB20" i="10" s="1"/>
  <c r="F15" i="3"/>
  <c r="G15" i="3" s="1"/>
  <c r="F19" i="11" s="1"/>
  <c r="AB19" i="10" s="1"/>
  <c r="F14" i="3"/>
  <c r="G14" i="3" s="1"/>
  <c r="F18" i="11" s="1"/>
  <c r="AB18" i="10" s="1"/>
  <c r="F13" i="3"/>
  <c r="G13" i="3" s="1"/>
  <c r="F17" i="11" s="1"/>
  <c r="AB17" i="10" s="1"/>
  <c r="C13" i="3"/>
  <c r="I17" i="11" s="1"/>
  <c r="F12" i="3"/>
  <c r="G12" i="3" s="1"/>
  <c r="F16" i="11" s="1"/>
  <c r="AB16" i="10" s="1"/>
  <c r="F11" i="3"/>
  <c r="G11" i="3" s="1"/>
  <c r="F15" i="11" s="1"/>
  <c r="AB15" i="10" s="1"/>
  <c r="F10" i="3"/>
  <c r="G10" i="3" s="1"/>
  <c r="F14" i="11" s="1"/>
  <c r="F9" i="3"/>
  <c r="G9" i="3" s="1"/>
  <c r="F13" i="11" s="1"/>
  <c r="AB13" i="10" s="1"/>
  <c r="C9" i="3"/>
  <c r="F8" i="3"/>
  <c r="G8" i="3" s="1"/>
  <c r="F12" i="11" s="1"/>
  <c r="F7" i="3"/>
  <c r="F6" i="3"/>
  <c r="G6" i="3" s="1"/>
  <c r="F10" i="11" s="1"/>
  <c r="F5" i="3"/>
  <c r="G5" i="3" s="1"/>
  <c r="F9" i="11" s="1"/>
  <c r="AB9" i="10" s="1"/>
  <c r="F4" i="3"/>
  <c r="F14" i="1"/>
  <c r="H14" i="1" s="1"/>
  <c r="F15" i="1"/>
  <c r="H15" i="1" s="1"/>
  <c r="F16" i="1"/>
  <c r="F17" i="1"/>
  <c r="F18" i="1"/>
  <c r="F4" i="1"/>
  <c r="H4" i="1" s="1"/>
  <c r="C10" i="2" s="1"/>
  <c r="F5" i="1"/>
  <c r="H5" i="1" s="1"/>
  <c r="F6" i="1"/>
  <c r="F7" i="1"/>
  <c r="F8" i="1"/>
  <c r="F9" i="1"/>
  <c r="H9" i="1" s="1"/>
  <c r="F10" i="1"/>
  <c r="H10" i="1" s="1"/>
  <c r="F11" i="1"/>
  <c r="F12" i="1"/>
  <c r="F13" i="1"/>
  <c r="F3" i="1"/>
  <c r="AB10" i="10" l="1"/>
  <c r="J10" i="11"/>
  <c r="O21" i="10" s="1"/>
  <c r="AB14" i="10"/>
  <c r="J20" i="11"/>
  <c r="O24" i="10" s="1"/>
  <c r="AB12" i="10"/>
  <c r="J13" i="11"/>
  <c r="O23" i="10" s="1"/>
  <c r="H11" i="1"/>
  <c r="J12" i="1"/>
  <c r="H3" i="1"/>
  <c r="C5" i="10" s="1"/>
  <c r="J4" i="1"/>
  <c r="H17" i="1"/>
  <c r="J9" i="4" s="1"/>
  <c r="J20" i="1"/>
  <c r="H7" i="1"/>
  <c r="C7" i="10" s="1"/>
  <c r="J9" i="1"/>
  <c r="H13" i="1"/>
  <c r="C9" i="10" s="1"/>
  <c r="J15" i="1"/>
  <c r="G7" i="3"/>
  <c r="F11" i="11" s="1"/>
  <c r="K6" i="1"/>
  <c r="H6" i="1"/>
  <c r="C12" i="2" s="1"/>
  <c r="J6" i="1"/>
  <c r="G24" i="1"/>
  <c r="I23" i="1"/>
  <c r="H8" i="1"/>
  <c r="C14" i="2" s="1"/>
  <c r="H16" i="1"/>
  <c r="C18" i="2"/>
  <c r="H12" i="1"/>
  <c r="C8" i="10" s="1"/>
  <c r="H18" i="1"/>
  <c r="J8" i="4" s="1"/>
  <c r="C10" i="4"/>
  <c r="G8" i="2" s="1"/>
  <c r="F22" i="1"/>
  <c r="H8" i="12"/>
  <c r="D18" i="3"/>
  <c r="H13" i="11"/>
  <c r="AC13" i="10" s="1"/>
  <c r="E11" i="4"/>
  <c r="G10" i="12"/>
  <c r="H10" i="12"/>
  <c r="C18" i="3"/>
  <c r="I13" i="11"/>
  <c r="G8" i="12"/>
  <c r="C11" i="2"/>
  <c r="C21" i="2"/>
  <c r="C6" i="1"/>
  <c r="B10" i="4"/>
  <c r="F7" i="2"/>
  <c r="C17" i="2"/>
  <c r="C13" i="2"/>
  <c r="C22" i="2"/>
  <c r="C15" i="1"/>
  <c r="H6" i="4"/>
  <c r="F6" i="2"/>
  <c r="C20" i="2"/>
  <c r="C16" i="2"/>
  <c r="G10" i="2"/>
  <c r="C23" i="2"/>
  <c r="G6" i="2"/>
  <c r="C19" i="2"/>
  <c r="C15" i="2"/>
  <c r="F21" i="3"/>
  <c r="G4" i="3"/>
  <c r="F8" i="11" s="1"/>
  <c r="G21" i="3"/>
  <c r="E15" i="12" s="1"/>
  <c r="AB8" i="10" l="1"/>
  <c r="J9" i="11"/>
  <c r="O20" i="10" s="1"/>
  <c r="AB11" i="10"/>
  <c r="J11" i="11"/>
  <c r="O22" i="10" s="1"/>
  <c r="J10" i="4"/>
  <c r="C10" i="10"/>
  <c r="L15" i="1"/>
  <c r="L9" i="10"/>
  <c r="K9" i="10" s="1"/>
  <c r="L10" i="10"/>
  <c r="L20" i="1"/>
  <c r="M20" i="1" s="1"/>
  <c r="L12" i="1"/>
  <c r="L8" i="10"/>
  <c r="K8" i="10" s="1"/>
  <c r="AD24" i="10" s="1"/>
  <c r="AG24" i="10" s="1"/>
  <c r="L4" i="1"/>
  <c r="L5" i="10"/>
  <c r="K5" i="10" s="1"/>
  <c r="AD21" i="10" s="1"/>
  <c r="AG21" i="10" s="1"/>
  <c r="L7" i="10"/>
  <c r="K7" i="10" s="1"/>
  <c r="AD23" i="10" s="1"/>
  <c r="AG23" i="10" s="1"/>
  <c r="L9" i="1"/>
  <c r="J11" i="4"/>
  <c r="F21" i="11"/>
  <c r="E16" i="12" s="1"/>
  <c r="E17" i="12" s="1"/>
  <c r="E18" i="12" s="1"/>
  <c r="L6" i="1"/>
  <c r="L6" i="10"/>
  <c r="J22" i="1"/>
  <c r="C6" i="10"/>
  <c r="C12" i="10" s="1"/>
  <c r="H22" i="1"/>
  <c r="E15" i="4" s="1"/>
  <c r="H9" i="12"/>
  <c r="G9" i="12"/>
  <c r="G21" i="2"/>
  <c r="F8" i="2"/>
  <c r="G12" i="2"/>
  <c r="C7" i="1"/>
  <c r="C9" i="2"/>
  <c r="C25" i="2" s="1"/>
  <c r="O26" i="10" l="1"/>
  <c r="C14" i="10"/>
  <c r="G104" i="10"/>
  <c r="L12" i="10"/>
  <c r="H106" i="10" s="1"/>
  <c r="K6" i="10"/>
  <c r="AD22" i="10" s="1"/>
  <c r="AG22" i="10" s="1"/>
  <c r="AD25" i="10"/>
  <c r="AG25" i="10" s="1"/>
  <c r="M9" i="1"/>
  <c r="F25" i="11" s="1"/>
  <c r="AB23" i="10" s="1"/>
  <c r="AE23" i="10" s="1"/>
  <c r="M6" i="1"/>
  <c r="F24" i="11" s="1"/>
  <c r="AB22" i="10" s="1"/>
  <c r="M12" i="1"/>
  <c r="F26" i="11" s="1"/>
  <c r="AB24" i="10" s="1"/>
  <c r="AE24" i="10" s="1"/>
  <c r="M15" i="1"/>
  <c r="F27" i="11" s="1"/>
  <c r="AB25" i="10" s="1"/>
  <c r="AE25" i="10" s="1"/>
  <c r="M4" i="1"/>
  <c r="F23" i="11" s="1"/>
  <c r="C8" i="1"/>
  <c r="G13" i="2"/>
  <c r="E16" i="4"/>
  <c r="G112" i="10" l="1"/>
  <c r="P28" i="10"/>
  <c r="L104" i="10"/>
  <c r="K104" i="10"/>
  <c r="O104" i="10" s="1"/>
  <c r="K12" i="10"/>
  <c r="G106" i="10" s="1"/>
  <c r="G141" i="10" s="1"/>
  <c r="AE22" i="10"/>
  <c r="F28" i="11"/>
  <c r="AB21" i="10"/>
  <c r="E17" i="4"/>
  <c r="E18" i="4" s="1"/>
  <c r="C9" i="1"/>
  <c r="G14" i="2"/>
  <c r="AB33" i="10" l="1"/>
  <c r="AA35" i="10" s="1"/>
  <c r="AA39" i="10"/>
  <c r="AA40" i="10" s="1"/>
  <c r="AA45" i="10" s="1"/>
  <c r="L112" i="10"/>
  <c r="P112" i="10" s="1"/>
  <c r="K112" i="10"/>
  <c r="L14" i="10"/>
  <c r="L15" i="10" s="1"/>
  <c r="AE21" i="10"/>
  <c r="H139" i="10"/>
  <c r="K106" i="10"/>
  <c r="L106" i="10"/>
  <c r="P106" i="10" s="1"/>
  <c r="C11" i="1"/>
  <c r="G15" i="2"/>
  <c r="P141" i="10" l="1"/>
  <c r="K139" i="10"/>
  <c r="L139" i="10"/>
  <c r="L141" i="10" s="1"/>
  <c r="H141" i="10"/>
  <c r="H142" i="10" s="1"/>
  <c r="H145" i="10" s="1"/>
  <c r="G17" i="2"/>
  <c r="C12" i="1"/>
  <c r="K141" i="10" l="1"/>
  <c r="L142" i="10" s="1"/>
  <c r="O139" i="10"/>
  <c r="O141" i="10" s="1"/>
  <c r="P142" i="10" s="1"/>
  <c r="C13" i="1"/>
  <c r="G18" i="2"/>
  <c r="C14" i="1" l="1"/>
  <c r="G19" i="2"/>
  <c r="C16" i="1" l="1"/>
  <c r="C17" i="1"/>
  <c r="H9" i="4" s="1"/>
  <c r="G20" i="2"/>
  <c r="C18" i="1" l="1"/>
  <c r="H8" i="4" s="1"/>
  <c r="H10" i="4"/>
  <c r="E29" i="19"/>
</calcChain>
</file>

<file path=xl/sharedStrings.xml><?xml version="1.0" encoding="utf-8"?>
<sst xmlns="http://schemas.openxmlformats.org/spreadsheetml/2006/main" count="743" uniqueCount="350">
  <si>
    <t>Fecha</t>
  </si>
  <si>
    <t>N° Factura</t>
  </si>
  <si>
    <t>Cliente</t>
  </si>
  <si>
    <t>Valor Neto</t>
  </si>
  <si>
    <t>IVA</t>
  </si>
  <si>
    <t>Total</t>
  </si>
  <si>
    <t>Valor Exento</t>
  </si>
  <si>
    <t>C001</t>
  </si>
  <si>
    <t>C003</t>
  </si>
  <si>
    <t>C010</t>
  </si>
  <si>
    <t>C025</t>
  </si>
  <si>
    <t>C007</t>
  </si>
  <si>
    <t>C002</t>
  </si>
  <si>
    <t>C014</t>
  </si>
  <si>
    <t>C017</t>
  </si>
  <si>
    <t>C018</t>
  </si>
  <si>
    <t>C019</t>
  </si>
  <si>
    <t>C020</t>
  </si>
  <si>
    <t>Total del Libro de Ventas al</t>
  </si>
  <si>
    <t>Boletas afectas pagadas con TC de personas naturales</t>
  </si>
  <si>
    <t>Boletas exentas pagadas con TC de personas naturales</t>
  </si>
  <si>
    <t>Saldo Inicial</t>
  </si>
  <si>
    <t>Abonos Banco</t>
  </si>
  <si>
    <t>Cargos Banco</t>
  </si>
  <si>
    <t>Saldo Banco</t>
  </si>
  <si>
    <t>Detalle</t>
  </si>
  <si>
    <t>Auxiliar de clientes al 31.12.2022</t>
  </si>
  <si>
    <t>Factura</t>
  </si>
  <si>
    <t>Mes</t>
  </si>
  <si>
    <t>Saldo</t>
  </si>
  <si>
    <t>Depósito</t>
  </si>
  <si>
    <t>Auxiliar de clientes al 30.06.2023</t>
  </si>
  <si>
    <t>Abono Transbank</t>
  </si>
  <si>
    <t>Clientes</t>
  </si>
  <si>
    <t>Activo</t>
  </si>
  <si>
    <t>Gastos</t>
  </si>
  <si>
    <t>Ganancias</t>
  </si>
  <si>
    <t>P001</t>
  </si>
  <si>
    <t>P002</t>
  </si>
  <si>
    <t>P007</t>
  </si>
  <si>
    <t>P008</t>
  </si>
  <si>
    <t>P013</t>
  </si>
  <si>
    <t>P014</t>
  </si>
  <si>
    <t>P015</t>
  </si>
  <si>
    <t>P009</t>
  </si>
  <si>
    <t>P018</t>
  </si>
  <si>
    <t>P019</t>
  </si>
  <si>
    <t>P012</t>
  </si>
  <si>
    <t>P034</t>
  </si>
  <si>
    <t>Concepto</t>
  </si>
  <si>
    <t>Asesorias</t>
  </si>
  <si>
    <t>Compra de Muebles de Oficina, a pagar en 90 días</t>
  </si>
  <si>
    <t>Ventas</t>
  </si>
  <si>
    <t>Compra de Vehículos a pagar en 90 días</t>
  </si>
  <si>
    <t>Servicios computacionales</t>
  </si>
  <si>
    <t>Combustible</t>
  </si>
  <si>
    <t>Repuestos</t>
  </si>
  <si>
    <t>Insumos computacionales</t>
  </si>
  <si>
    <t>Artículos de librería</t>
  </si>
  <si>
    <t>Auxiliar de proveedores al 31.12.2022</t>
  </si>
  <si>
    <t>Auxiliar de proveedores al 30.06.2023</t>
  </si>
  <si>
    <t>Transferencia</t>
  </si>
  <si>
    <t>Proveedor</t>
  </si>
  <si>
    <t>IVA DF</t>
  </si>
  <si>
    <t>Tasa PPM</t>
  </si>
  <si>
    <t>Pagos del 2022</t>
  </si>
  <si>
    <t>Pagos del 2023</t>
  </si>
  <si>
    <t>Pagos del 2024</t>
  </si>
  <si>
    <t>Puntos IPC</t>
  </si>
  <si>
    <t>IVA CF</t>
  </si>
  <si>
    <t>Activo Muebles</t>
  </si>
  <si>
    <t>Activo Vehículos</t>
  </si>
  <si>
    <t>Muebles y ütiles (PPE)</t>
  </si>
  <si>
    <t>Vehículos (PPE)</t>
  </si>
  <si>
    <t>Proveedores</t>
  </si>
  <si>
    <t>CTV 1</t>
  </si>
  <si>
    <t>CTV 2</t>
  </si>
  <si>
    <t>CTV 3</t>
  </si>
  <si>
    <t>CTV 4</t>
  </si>
  <si>
    <t>CTV 5</t>
  </si>
  <si>
    <t>CTV 6</t>
  </si>
  <si>
    <t>CTC 1</t>
  </si>
  <si>
    <t>CTC 2</t>
  </si>
  <si>
    <t>CTC 3</t>
  </si>
  <si>
    <t>CTC 4</t>
  </si>
  <si>
    <t>CTC 5</t>
  </si>
  <si>
    <t>CTC 6</t>
  </si>
  <si>
    <t>S Inicial</t>
  </si>
  <si>
    <t>Ajustes cierre</t>
  </si>
  <si>
    <t>Por Pagar</t>
  </si>
  <si>
    <t>F 29</t>
  </si>
  <si>
    <t>F 29 / Caja</t>
  </si>
  <si>
    <t>Pago de PPM e IVA de</t>
  </si>
  <si>
    <t>Enero</t>
  </si>
  <si>
    <t>Febrero</t>
  </si>
  <si>
    <t>Marzo</t>
  </si>
  <si>
    <t>Abril</t>
  </si>
  <si>
    <t>Mayo</t>
  </si>
  <si>
    <t>Junio</t>
  </si>
  <si>
    <t>Fecha de pago</t>
  </si>
  <si>
    <t>PPM</t>
  </si>
  <si>
    <t>Capital</t>
  </si>
  <si>
    <t>Resultados Acumulado</t>
  </si>
  <si>
    <t>Efectivo y Efectivo Equivalente</t>
  </si>
  <si>
    <t>Efectivo y Efectivo Equivalente Banco</t>
  </si>
  <si>
    <t>Abono cliente</t>
  </si>
  <si>
    <t>CI 1</t>
  </si>
  <si>
    <t>CI 2</t>
  </si>
  <si>
    <t>CI 3</t>
  </si>
  <si>
    <t>CI 4</t>
  </si>
  <si>
    <t>CI 5</t>
  </si>
  <si>
    <t>CI 6</t>
  </si>
  <si>
    <t>Totales del Semestre</t>
  </si>
  <si>
    <t>Sueldos Base</t>
  </si>
  <si>
    <t>Gratifiacción</t>
  </si>
  <si>
    <t>Asignaciones</t>
  </si>
  <si>
    <t>Total haberes</t>
  </si>
  <si>
    <t>Liquido a Pagar</t>
  </si>
  <si>
    <t>Provisión de Vacaciones a Jun 23</t>
  </si>
  <si>
    <t>Renta Bruta Mensual</t>
  </si>
  <si>
    <t>Pago de Remuneraciones</t>
  </si>
  <si>
    <t>Gasto</t>
  </si>
  <si>
    <t>Diferencia por Cobrar a Transbank</t>
  </si>
  <si>
    <t>CE1</t>
  </si>
  <si>
    <t>CE4</t>
  </si>
  <si>
    <t>CE2</t>
  </si>
  <si>
    <t>CE3</t>
  </si>
  <si>
    <t>CE5</t>
  </si>
  <si>
    <t>Control</t>
  </si>
  <si>
    <t>PPE</t>
  </si>
  <si>
    <t>Aporte de Capital</t>
  </si>
  <si>
    <t>Aporte de Capital junio 23</t>
  </si>
  <si>
    <t>AFP</t>
  </si>
  <si>
    <t>Salud (Isapre)</t>
  </si>
  <si>
    <t>Descuentos</t>
  </si>
  <si>
    <t>Rem por Pagar</t>
  </si>
  <si>
    <t>CTR6</t>
  </si>
  <si>
    <t xml:space="preserve">Déditos </t>
  </si>
  <si>
    <t>Créditos</t>
  </si>
  <si>
    <t>Saldos Deudor</t>
  </si>
  <si>
    <t>Saldos Acreedor</t>
  </si>
  <si>
    <t>enero</t>
  </si>
  <si>
    <t>febrero</t>
  </si>
  <si>
    <t>marzo</t>
  </si>
  <si>
    <t>abril</t>
  </si>
  <si>
    <t>mayo</t>
  </si>
  <si>
    <t>junio</t>
  </si>
  <si>
    <t>CE6</t>
  </si>
  <si>
    <t>PPM por Pagar</t>
  </si>
  <si>
    <t>CT6</t>
  </si>
  <si>
    <t>Activos</t>
  </si>
  <si>
    <t>Pasivos</t>
  </si>
  <si>
    <t>PPE al 31.12.2022</t>
  </si>
  <si>
    <t>Valor de Compra</t>
  </si>
  <si>
    <t>Dep Acum</t>
  </si>
  <si>
    <t>Dep del Ejer</t>
  </si>
  <si>
    <t>Terreno</t>
  </si>
  <si>
    <t>Fecha de Adq</t>
  </si>
  <si>
    <t>V Util total</t>
  </si>
  <si>
    <t>Edificaciones</t>
  </si>
  <si>
    <t>Vehículo 1</t>
  </si>
  <si>
    <t>Vehículo 2</t>
  </si>
  <si>
    <t>Muebles 1</t>
  </si>
  <si>
    <t>Muebles 2</t>
  </si>
  <si>
    <t>N/A</t>
  </si>
  <si>
    <t>Meses</t>
  </si>
  <si>
    <t>$</t>
  </si>
  <si>
    <t>V Util restante</t>
  </si>
  <si>
    <t>PPE al 30.06.2023</t>
  </si>
  <si>
    <t>Total a junio 2023</t>
  </si>
  <si>
    <t>Total a diciembre 2022</t>
  </si>
  <si>
    <t>V Util transcurrida el 2022</t>
  </si>
  <si>
    <t>V Util transcurrida el 2023</t>
  </si>
  <si>
    <t>Adiciones del Periodo</t>
  </si>
  <si>
    <t>Terrenos</t>
  </si>
  <si>
    <t>Dep Acum PPE</t>
  </si>
  <si>
    <t>Depreciación</t>
  </si>
  <si>
    <t>CTx1</t>
  </si>
  <si>
    <t>Aporte Capital</t>
  </si>
  <si>
    <t>Ptmo Banco</t>
  </si>
  <si>
    <t>Préstamos para adquirir Edificio</t>
  </si>
  <si>
    <t>Año 2022</t>
  </si>
  <si>
    <t>Solo devengo de intereses</t>
  </si>
  <si>
    <t>Año 2023</t>
  </si>
  <si>
    <t>Devengo interés a junio 2023</t>
  </si>
  <si>
    <t>Pago de Capital e interés devengado</t>
  </si>
  <si>
    <t>Saldo del préstamos al 31.12.2022</t>
  </si>
  <si>
    <t>Préstamos Banco</t>
  </si>
  <si>
    <t xml:space="preserve">   solo del año 2022, los del 2023 se pagan </t>
  </si>
  <si>
    <t>el 2024</t>
  </si>
  <si>
    <t>Gastos Financieros</t>
  </si>
  <si>
    <t>CTx2</t>
  </si>
  <si>
    <t>Saldo del Préstamos al 30 de junio de 2023</t>
  </si>
  <si>
    <t>Pago Prestamo</t>
  </si>
  <si>
    <t>Aporte de capital inicial el 2022 para adquiri activos fijos</t>
  </si>
  <si>
    <t>Aported e capital en junio 2023 para proyectos futuros</t>
  </si>
  <si>
    <t>Devolución Imptos (PPM)</t>
  </si>
  <si>
    <t>Impto Renta</t>
  </si>
  <si>
    <t>Prov de Impto Renta</t>
  </si>
  <si>
    <t>Deterioro CxC</t>
  </si>
  <si>
    <t>Provisión deterioro CxC</t>
  </si>
  <si>
    <t>Depósitos en USD</t>
  </si>
  <si>
    <t>Dif de Cambio (No Realizada)</t>
  </si>
  <si>
    <t>Inversión en depósito</t>
  </si>
  <si>
    <t>CTx3</t>
  </si>
  <si>
    <t>CTx4</t>
  </si>
  <si>
    <t>Tipo</t>
  </si>
  <si>
    <t>Cuenta</t>
  </si>
  <si>
    <t>CTx5</t>
  </si>
  <si>
    <t>Balance de Cmoprobación y Saldos</t>
  </si>
  <si>
    <t>Cuentas Patrimoniales</t>
  </si>
  <si>
    <t>Cuentas de Resultados</t>
  </si>
  <si>
    <t>Sub Total</t>
  </si>
  <si>
    <t>Resultado del Ejercicio</t>
  </si>
  <si>
    <t>Totales</t>
  </si>
  <si>
    <t>Deudores Comerciales</t>
  </si>
  <si>
    <t>Impuestos por Recuperar</t>
  </si>
  <si>
    <t>Propiedad, Planta y Equipo</t>
  </si>
  <si>
    <t>Pasivos Financieros</t>
  </si>
  <si>
    <t>Cuentas por Pagar Comerciales</t>
  </si>
  <si>
    <t>Impuestos por Pagar</t>
  </si>
  <si>
    <t>Total Activos</t>
  </si>
  <si>
    <t>Cobros</t>
  </si>
  <si>
    <t>Saldo Final</t>
  </si>
  <si>
    <t>Compras</t>
  </si>
  <si>
    <t>Pagos</t>
  </si>
  <si>
    <t>Gratificacción</t>
  </si>
  <si>
    <t>Ingresos por Ventas</t>
  </si>
  <si>
    <t>Costo de Venta</t>
  </si>
  <si>
    <t>Margen Bruto</t>
  </si>
  <si>
    <t>Gastos de Adm y Ventas</t>
  </si>
  <si>
    <t>Margen Neto</t>
  </si>
  <si>
    <t>Diferencia de Cambio</t>
  </si>
  <si>
    <t>Resultado antes de Impuesto</t>
  </si>
  <si>
    <t>Impuesto a las Ganancias</t>
  </si>
  <si>
    <t>Resultado Final</t>
  </si>
  <si>
    <t>Cuentas Contables</t>
  </si>
  <si>
    <t>Estado de Resultados Por Función</t>
  </si>
  <si>
    <t>EBITDA</t>
  </si>
  <si>
    <t>Variación del Periodo</t>
  </si>
  <si>
    <t>Comprobantes de Ingresos</t>
  </si>
  <si>
    <t>Comprobantes de Egresos</t>
  </si>
  <si>
    <t>Aporte de capital</t>
  </si>
  <si>
    <t>Saldo Deudores</t>
  </si>
  <si>
    <t>¿Cuánto de esto esta en la caja?</t>
  </si>
  <si>
    <t>Saldo Inicial Banco</t>
  </si>
  <si>
    <t>Saldo Final Banco</t>
  </si>
  <si>
    <t>Saldo Final Inversiones</t>
  </si>
  <si>
    <t>Cobro Cliente</t>
  </si>
  <si>
    <t>Pago Prov</t>
  </si>
  <si>
    <t>Cobranza de Clientes</t>
  </si>
  <si>
    <t>Pago de Proveedores</t>
  </si>
  <si>
    <t>Pago de Personal</t>
  </si>
  <si>
    <t>Flujo Operacional</t>
  </si>
  <si>
    <t>Compra de PPE</t>
  </si>
  <si>
    <t>Impuestos a la renta</t>
  </si>
  <si>
    <t>Flujo de Inversión</t>
  </si>
  <si>
    <t>Pago de Préstamos</t>
  </si>
  <si>
    <t>Flujo de Financiamiento</t>
  </si>
  <si>
    <t>Flujo Neto del Periodo</t>
  </si>
  <si>
    <t>Saldo Inicial Efectivo y Ef Eq</t>
  </si>
  <si>
    <t>Saldo Final Efectivo y Ef Eq</t>
  </si>
  <si>
    <t>Saldo Deudor</t>
  </si>
  <si>
    <t>Diferencia de Cambiode Ef y Ef Eq</t>
  </si>
  <si>
    <t>Otros pagos de impuestos (IVA)</t>
  </si>
  <si>
    <t>Ajustes de</t>
  </si>
  <si>
    <t>Este Flujo es el que se debe conciliar</t>
  </si>
  <si>
    <t>Variaciones de (balance)</t>
  </si>
  <si>
    <t>Diferencia</t>
  </si>
  <si>
    <t>Explicación</t>
  </si>
  <si>
    <t>Var Cta Contables</t>
  </si>
  <si>
    <t>Facturas de PPE</t>
  </si>
  <si>
    <t>Facturas de PPE en Proveedores</t>
  </si>
  <si>
    <t>Ajuets del Resultado (*)</t>
  </si>
  <si>
    <t>EBITDA (*)</t>
  </si>
  <si>
    <t>Otros Ajustes (*)</t>
  </si>
  <si>
    <t>IVA CF de PPE en Imptos por Pagar (*)</t>
  </si>
  <si>
    <t>Impuestos por recuperar</t>
  </si>
  <si>
    <t>Variación</t>
  </si>
  <si>
    <t>Fluj Operacional Met Directo</t>
  </si>
  <si>
    <t>Al proveedor</t>
  </si>
  <si>
    <t>Al SII</t>
  </si>
  <si>
    <t>Estado de Situación Financiera</t>
  </si>
  <si>
    <t>Flujo Operacional Método Indirecto</t>
  </si>
  <si>
    <t>LIBRO DE VENTAS</t>
  </si>
  <si>
    <t>LIBRO DE COMPRAS</t>
  </si>
  <si>
    <t>Efectivos y Efectivo Equivalente</t>
  </si>
  <si>
    <t>#</t>
  </si>
  <si>
    <t>Estructura General Estado de Flujos de Efectivo | Método Indirecto | Taxonomía XBRL 2024</t>
  </si>
  <si>
    <t>01/01/2023
 al</t>
  </si>
  <si>
    <t>01/01/XX-1 
al</t>
  </si>
  <si>
    <t xml:space="preserve">Estructura General Estado de Flujos de Efectivo | Método Indirecto </t>
  </si>
  <si>
    <t>31-06-2023</t>
  </si>
  <si>
    <t>31/12/XX-1</t>
  </si>
  <si>
    <t>Flujos de efectivo procedentes de (utilizados en) actividades de operación</t>
  </si>
  <si>
    <t>Ganancia (pérdida)</t>
  </si>
  <si>
    <t>´+/-</t>
  </si>
  <si>
    <t>Ajustes para conciliar la ganancia (pérdida)</t>
  </si>
  <si>
    <t>Ajustes por gasto por impuestos a las ganancias</t>
  </si>
  <si>
    <t>+</t>
  </si>
  <si>
    <t>Ajustes por costos financieros</t>
  </si>
  <si>
    <t>Ajustes por disminuciones (incrementos) en los inventarios</t>
  </si>
  <si>
    <t>Ajustes por la disminución (incremento) de cuentas por cobrar de origen comercial</t>
  </si>
  <si>
    <t>Ajustes por disminuciones (incrementos) en otras cuentas por cobrar derivadas de las actividades de operación</t>
  </si>
  <si>
    <t>Ajustes por el incremento (disminución) de cuentas por pagar de origen comercial</t>
  </si>
  <si>
    <t>Ajustes por incrementos (disminuciones) en otras cuentas por pagar derivadas de las actividades de operación</t>
  </si>
  <si>
    <t>Ajustes por gastos de depreciación y amortización</t>
  </si>
  <si>
    <t>Ajustes por deterioro de valor (reversiones de pérdidas por deterioro de valor) reconocidas en el resultado del periodo</t>
  </si>
  <si>
    <t>Ajustes por provisiones</t>
  </si>
  <si>
    <t>Ajustes por pérdidas (ganancias) de moneda extranjera no realizadas</t>
  </si>
  <si>
    <t>Ajustes por pérdidas (ganancias) del valor razonable</t>
  </si>
  <si>
    <t>Otros ajustes por partidas distintas al efectivo</t>
  </si>
  <si>
    <t>Otros ajustes para conciliar la ganancia (pérdida)</t>
  </si>
  <si>
    <t>Total ajustes para conciliar la ganancia (pérdida)</t>
  </si>
  <si>
    <t>=</t>
  </si>
  <si>
    <t>Flujos de efectivo netos procedentes de (utilizados en) operaciones</t>
  </si>
  <si>
    <t>Dividendos pagados</t>
  </si>
  <si>
    <t>-</t>
  </si>
  <si>
    <t>Dividendos recibidos</t>
  </si>
  <si>
    <t>Intereses pagados</t>
  </si>
  <si>
    <t>Intereses recibidos</t>
  </si>
  <si>
    <t>Impuestos a las ganancias pagados (reembolsados)</t>
  </si>
  <si>
    <t>Otras entradas (salidas) de efectivo</t>
  </si>
  <si>
    <t>Flujos de efectivo netos procedentes de (utilizados en) actividades de operación</t>
  </si>
  <si>
    <t>Flujos de efectivo procedentes de (utilizados en) actividades de inversión</t>
  </si>
  <si>
    <t>Flujos de efectivo procedentes de la pérdida de control de subsidiarias u otros negocios</t>
  </si>
  <si>
    <t>Flujos de efectivo utilizados para obtener el control de subsidiarias u otros negocios</t>
  </si>
  <si>
    <t>Flujos de efectivo netos procedentes de (utilizados en) actividades de inversión</t>
  </si>
  <si>
    <t>Flujos de efectivo procedentes de (utilizados en) actividades de financiación</t>
  </si>
  <si>
    <t>Cobros por cambios en las participaciones en la propiedad de subsidiarias que no resulta en una pérdida de control</t>
  </si>
  <si>
    <t>Pagos por cambios en las participaciones en la propiedad en subsidiarias que no dan lugar a la pérdida de control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</si>
  <si>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</si>
  <si>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</si>
  <si>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</si>
  <si>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</si>
  <si>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</t>
  </si>
  <si>
    <t>Importes procedentes de préstamos de largo plazo</t>
  </si>
  <si>
    <t>Importes procedentes de préstamos de corto plazo</t>
  </si>
  <si>
    <t>Préstamos de entidades relacionadas</t>
  </si>
  <si>
    <t>Reembolsos de préstamos</t>
  </si>
  <si>
    <t>Pagos de pasivos por arrendamientos</t>
  </si>
  <si>
    <t>Pagos de préstamos de entidades relacionadas</t>
  </si>
  <si>
    <t>Importes procedentes de subvenciones del gobierno</t>
  </si>
  <si>
    <t>Flujos de efectivo netos procedentes de (utilizados en) actividades de financiación</t>
  </si>
  <si>
    <t>Incremento (disminución) neto de efectivo y equivalentes al efectivo, antes del efecto de los cambios en la tasa de cambio</t>
  </si>
  <si>
    <t>Efectos de la variación en la tasa de cambio sobre el efectivo y equivalentes al efectivo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</si>
  <si>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</si>
  <si>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</si>
  <si>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</si>
  <si>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Completar y armar el EFE Indirecto en base a la información de este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</si>
</sst>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_-&quot;$&quot;* #,##0_-;\-&quot;$&quot;* #,##0_-;_-&quot;$&quot;* &quot;-&quot;??_-;_-@_-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indexed="8"/>
      <name val="Arial Unicode MS"/>
      <family val="2"/>
    </font>
    <font>
      <sz val="8"/>
      <color indexed="8"/>
      <name val="Arial Unicode MS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EEEEE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1" fillId="0" borderId="1" xfId="0" applyNumberFormat="1" applyFont="1" applyBorder="1"/>
    <xf numFmtId="0" fontId="2" fillId="0" borderId="0" xfId="0" applyFont="1"/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20" fontId="4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3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3" fontId="0" fillId="2" borderId="2" xfId="0" applyNumberFormat="1" applyFill="1" applyBorder="1"/>
    <xf numFmtId="9" fontId="0" fillId="0" borderId="0" xfId="0" applyNumberFormat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3" fontId="0" fillId="0" borderId="1" xfId="0" applyNumberFormat="1" applyBorder="1"/>
    <xf numFmtId="0" fontId="0" fillId="0" borderId="4" xfId="0" applyBorder="1"/>
    <xf numFmtId="0" fontId="0" fillId="0" borderId="0" xfId="0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17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9" fontId="0" fillId="0" borderId="0" xfId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0" fillId="0" borderId="5" xfId="0" applyNumberFormat="1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1" xfId="3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0" fillId="4" borderId="2" xfId="0" applyNumberFormat="1" applyFill="1" applyBorder="1"/>
    <xf numFmtId="3" fontId="0" fillId="5" borderId="3" xfId="0" applyNumberFormat="1" applyFill="1" applyBorder="1"/>
    <xf numFmtId="3" fontId="0" fillId="4" borderId="0" xfId="0" applyNumberFormat="1" applyFill="1"/>
    <xf numFmtId="166" fontId="0" fillId="0" borderId="0" xfId="0" applyNumberFormat="1"/>
    <xf numFmtId="3" fontId="1" fillId="0" borderId="8" xfId="0" applyNumberFormat="1" applyFon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0" fillId="0" borderId="0" xfId="2" applyNumberFormat="1" applyFont="1"/>
    <xf numFmtId="0" fontId="1" fillId="0" borderId="0" xfId="0" applyFont="1" applyAlignment="1">
      <alignment horizontal="center" vertical="center" wrapText="1"/>
    </xf>
    <xf numFmtId="166" fontId="0" fillId="0" borderId="1" xfId="2" applyNumberFormat="1" applyFont="1" applyBorder="1"/>
    <xf numFmtId="166" fontId="1" fillId="0" borderId="1" xfId="2" applyNumberFormat="1" applyFont="1" applyBorder="1"/>
    <xf numFmtId="166" fontId="1" fillId="0" borderId="1" xfId="2" applyNumberFormat="1" applyFont="1" applyBorder="1" applyAlignment="1">
      <alignment horizontal="right" vertical="center"/>
    </xf>
    <xf numFmtId="166" fontId="0" fillId="0" borderId="1" xfId="0" applyNumberFormat="1" applyBorder="1"/>
    <xf numFmtId="166" fontId="0" fillId="0" borderId="4" xfId="2" applyNumberFormat="1" applyFont="1" applyBorder="1"/>
    <xf numFmtId="165" fontId="1" fillId="0" borderId="1" xfId="0" applyNumberFormat="1" applyFont="1" applyBorder="1"/>
    <xf numFmtId="165" fontId="0" fillId="0" borderId="4" xfId="0" applyNumberFormat="1" applyBorder="1"/>
    <xf numFmtId="0" fontId="7" fillId="0" borderId="0" xfId="0" applyFont="1" applyBorder="1"/>
    <xf numFmtId="3" fontId="0" fillId="0" borderId="8" xfId="0" applyNumberFormat="1" applyFont="1" applyBorder="1"/>
    <xf numFmtId="166" fontId="1" fillId="0" borderId="0" xfId="2" applyNumberFormat="1" applyFo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3" fontId="0" fillId="0" borderId="17" xfId="0" applyNumberFormat="1" applyBorder="1"/>
    <xf numFmtId="15" fontId="0" fillId="0" borderId="18" xfId="0" applyNumberFormat="1" applyBorder="1" applyAlignment="1">
      <alignment horizontal="center" vertical="center"/>
    </xf>
    <xf numFmtId="3" fontId="0" fillId="0" borderId="19" xfId="0" applyNumberFormat="1" applyBorder="1"/>
    <xf numFmtId="15" fontId="0" fillId="2" borderId="13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/>
    <xf numFmtId="3" fontId="0" fillId="2" borderId="17" xfId="0" applyNumberFormat="1" applyFill="1" applyBorder="1"/>
    <xf numFmtId="15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/>
    <xf numFmtId="15" fontId="0" fillId="0" borderId="13" xfId="0" applyNumberFormat="1" applyBorder="1" applyAlignment="1">
      <alignment horizontal="left" vertical="center"/>
    </xf>
    <xf numFmtId="15" fontId="0" fillId="0" borderId="18" xfId="0" applyNumberFormat="1" applyBorder="1" applyAlignment="1">
      <alignment horizontal="left" vertical="center"/>
    </xf>
    <xf numFmtId="0" fontId="0" fillId="0" borderId="13" xfId="0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0" borderId="2" xfId="0" applyFont="1" applyBorder="1"/>
    <xf numFmtId="15" fontId="1" fillId="0" borderId="2" xfId="0" applyNumberFormat="1" applyFont="1" applyBorder="1" applyAlignment="1">
      <alignment horizontal="center" vertical="center"/>
    </xf>
    <xf numFmtId="3" fontId="1" fillId="0" borderId="20" xfId="0" applyNumberFormat="1" applyFont="1" applyBorder="1"/>
    <xf numFmtId="3" fontId="1" fillId="0" borderId="21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17" xfId="0" applyBorder="1"/>
    <xf numFmtId="17" fontId="0" fillId="0" borderId="18" xfId="0" applyNumberFormat="1" applyBorder="1"/>
    <xf numFmtId="0" fontId="0" fillId="0" borderId="19" xfId="0" applyBorder="1"/>
    <xf numFmtId="17" fontId="0" fillId="0" borderId="13" xfId="0" applyNumberFormat="1" applyBorder="1"/>
    <xf numFmtId="0" fontId="0" fillId="0" borderId="18" xfId="0" applyBorder="1"/>
    <xf numFmtId="0" fontId="2" fillId="0" borderId="14" xfId="0" applyFont="1" applyBorder="1"/>
    <xf numFmtId="0" fontId="0" fillId="0" borderId="15" xfId="0" applyBorder="1"/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17" fontId="0" fillId="2" borderId="0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3" fontId="1" fillId="0" borderId="22" xfId="0" applyNumberFormat="1" applyFont="1" applyBorder="1"/>
    <xf numFmtId="0" fontId="1" fillId="0" borderId="13" xfId="0" applyFont="1" applyBorder="1"/>
    <xf numFmtId="0" fontId="1" fillId="0" borderId="0" xfId="0" applyFont="1" applyBorder="1"/>
    <xf numFmtId="15" fontId="1" fillId="0" borderId="0" xfId="0" applyNumberFormat="1" applyFont="1" applyBorder="1" applyAlignment="1">
      <alignment horizontal="center" vertical="center"/>
    </xf>
    <xf numFmtId="0" fontId="1" fillId="0" borderId="17" xfId="0" applyFont="1" applyBorder="1"/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4" xfId="0" applyBorder="1"/>
    <xf numFmtId="165" fontId="0" fillId="0" borderId="0" xfId="3" applyNumberFormat="1" applyFont="1" applyBorder="1"/>
    <xf numFmtId="165" fontId="0" fillId="0" borderId="0" xfId="0" applyNumberFormat="1" applyBorder="1"/>
    <xf numFmtId="165" fontId="0" fillId="0" borderId="2" xfId="0" applyNumberFormat="1" applyBorder="1"/>
    <xf numFmtId="3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0" fillId="5" borderId="0" xfId="0" applyNumberFormat="1" applyFill="1" applyBorder="1"/>
    <xf numFmtId="0" fontId="7" fillId="0" borderId="17" xfId="0" applyFont="1" applyBorder="1"/>
    <xf numFmtId="17" fontId="0" fillId="0" borderId="13" xfId="0" applyNumberFormat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/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7" fillId="4" borderId="17" xfId="0" applyNumberFormat="1" applyFont="1" applyFill="1" applyBorder="1" applyAlignment="1">
      <alignment horizontal="center" vertical="center"/>
    </xf>
    <xf numFmtId="166" fontId="0" fillId="3" borderId="0" xfId="2" applyNumberFormat="1" applyFont="1" applyFill="1" applyBorder="1"/>
    <xf numFmtId="0" fontId="7" fillId="0" borderId="17" xfId="0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2" applyNumberFormat="1" applyFont="1" applyBorder="1"/>
    <xf numFmtId="0" fontId="0" fillId="0" borderId="1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" fillId="0" borderId="23" xfId="0" applyNumberFormat="1" applyFont="1" applyBorder="1"/>
    <xf numFmtId="0" fontId="7" fillId="0" borderId="19" xfId="0" applyFont="1" applyBorder="1"/>
    <xf numFmtId="17" fontId="0" fillId="0" borderId="0" xfId="0" applyNumberFormat="1" applyBorder="1"/>
    <xf numFmtId="0" fontId="0" fillId="0" borderId="17" xfId="0" applyBorder="1" applyAlignment="1">
      <alignment horizontal="center"/>
    </xf>
    <xf numFmtId="166" fontId="0" fillId="0" borderId="24" xfId="2" applyNumberFormat="1" applyFont="1" applyBorder="1"/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0" fillId="4" borderId="0" xfId="0" applyNumberFormat="1" applyFill="1" applyBorder="1"/>
    <xf numFmtId="0" fontId="7" fillId="0" borderId="18" xfId="0" applyFont="1" applyBorder="1" applyAlignment="1">
      <alignment horizontal="center" vertical="center"/>
    </xf>
    <xf numFmtId="0" fontId="7" fillId="0" borderId="2" xfId="0" applyFont="1" applyBorder="1"/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6" fontId="0" fillId="0" borderId="17" xfId="2" applyNumberFormat="1" applyFont="1" applyBorder="1"/>
    <xf numFmtId="0" fontId="2" fillId="0" borderId="13" xfId="0" applyFont="1" applyBorder="1"/>
    <xf numFmtId="0" fontId="0" fillId="0" borderId="0" xfId="0" applyBorder="1" applyAlignment="1">
      <alignment horizontal="left" vertical="center"/>
    </xf>
    <xf numFmtId="165" fontId="0" fillId="0" borderId="15" xfId="3" applyNumberFormat="1" applyFont="1" applyBorder="1"/>
    <xf numFmtId="15" fontId="0" fillId="0" borderId="16" xfId="0" applyNumberFormat="1" applyBorder="1"/>
    <xf numFmtId="44" fontId="0" fillId="0" borderId="0" xfId="0" applyNumberFormat="1" applyBorder="1"/>
    <xf numFmtId="165" fontId="0" fillId="0" borderId="16" xfId="3" applyNumberFormat="1" applyFont="1" applyBorder="1"/>
    <xf numFmtId="165" fontId="0" fillId="0" borderId="19" xfId="3" applyNumberFormat="1" applyFont="1" applyBorder="1"/>
    <xf numFmtId="0" fontId="8" fillId="0" borderId="13" xfId="0" applyFont="1" applyBorder="1" applyAlignment="1">
      <alignment horizontal="center" vertical="center"/>
    </xf>
    <xf numFmtId="3" fontId="0" fillId="0" borderId="25" xfId="0" applyNumberFormat="1" applyFont="1" applyBorder="1"/>
    <xf numFmtId="0" fontId="1" fillId="0" borderId="18" xfId="0" applyFont="1" applyBorder="1" applyAlignment="1">
      <alignment horizontal="center" vertical="center"/>
    </xf>
    <xf numFmtId="166" fontId="0" fillId="0" borderId="8" xfId="0" applyNumberFormat="1" applyBorder="1"/>
    <xf numFmtId="166" fontId="7" fillId="0" borderId="0" xfId="2" applyNumberFormat="1" applyFont="1"/>
    <xf numFmtId="9" fontId="0" fillId="0" borderId="0" xfId="1" applyFont="1" applyAlignment="1">
      <alignment horizontal="center" vertical="center"/>
    </xf>
    <xf numFmtId="166" fontId="1" fillId="0" borderId="1" xfId="0" applyNumberFormat="1" applyFont="1" applyBorder="1"/>
    <xf numFmtId="0" fontId="0" fillId="4" borderId="0" xfId="0" applyFill="1"/>
    <xf numFmtId="0" fontId="1" fillId="4" borderId="0" xfId="0" applyFont="1" applyFill="1"/>
    <xf numFmtId="166" fontId="1" fillId="4" borderId="0" xfId="2" applyNumberFormat="1" applyFont="1" applyFill="1"/>
    <xf numFmtId="166" fontId="1" fillId="0" borderId="26" xfId="0" applyNumberFormat="1" applyFont="1" applyBorder="1"/>
    <xf numFmtId="3" fontId="0" fillId="0" borderId="16" xfId="0" applyNumberFormat="1" applyBorder="1"/>
    <xf numFmtId="3" fontId="0" fillId="0" borderId="8" xfId="0" applyNumberFormat="1" applyBorder="1"/>
    <xf numFmtId="3" fontId="0" fillId="0" borderId="0" xfId="0" applyNumberFormat="1" applyFill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/>
    <xf numFmtId="166" fontId="0" fillId="0" borderId="14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166" fontId="0" fillId="0" borderId="19" xfId="0" applyNumberFormat="1" applyBorder="1"/>
    <xf numFmtId="166" fontId="0" fillId="4" borderId="8" xfId="2" applyNumberFormat="1" applyFont="1" applyFill="1" applyBorder="1"/>
    <xf numFmtId="0" fontId="0" fillId="6" borderId="0" xfId="0" applyFill="1"/>
    <xf numFmtId="166" fontId="0" fillId="6" borderId="0" xfId="2" applyNumberFormat="1" applyFont="1" applyFill="1"/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7" borderId="27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wrapText="1"/>
    </xf>
    <xf numFmtId="0" fontId="10" fillId="7" borderId="16" xfId="0" applyFont="1" applyFill="1" applyBorder="1" applyAlignment="1">
      <alignment horizont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14" fontId="10" fillId="7" borderId="0" xfId="0" applyNumberFormat="1" applyFont="1" applyFill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0" fillId="0" borderId="27" xfId="0" applyBorder="1"/>
    <xf numFmtId="0" fontId="11" fillId="8" borderId="29" xfId="0" applyFont="1" applyFill="1" applyBorder="1" applyAlignment="1">
      <alignment indent="1"/>
    </xf>
    <xf numFmtId="0" fontId="1" fillId="0" borderId="27" xfId="0" applyFont="1" applyBorder="1"/>
    <xf numFmtId="0" fontId="11" fillId="8" borderId="30" xfId="0" applyFont="1" applyFill="1" applyBorder="1" applyAlignment="1">
      <alignment indent="1"/>
    </xf>
    <xf numFmtId="0" fontId="0" fillId="0" borderId="28" xfId="0" applyBorder="1"/>
    <xf numFmtId="0" fontId="12" fillId="8" borderId="31" xfId="0" applyFont="1" applyFill="1" applyBorder="1" applyAlignment="1">
      <alignment indent="2"/>
    </xf>
    <xf numFmtId="0" fontId="1" fillId="0" borderId="28" xfId="0" applyFont="1" applyBorder="1"/>
    <xf numFmtId="0" fontId="12" fillId="8" borderId="32" xfId="0" applyFont="1" applyFill="1" applyBorder="1" applyAlignment="1">
      <alignment indent="2"/>
    </xf>
    <xf numFmtId="0" fontId="0" fillId="0" borderId="33" xfId="0" applyBorder="1"/>
    <xf numFmtId="0" fontId="1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2" fillId="8" borderId="35" xfId="0" applyFont="1" applyFill="1" applyBorder="1" applyAlignment="1">
      <alignment indent="2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8" borderId="31" xfId="0" applyFont="1" applyFill="1" applyBorder="1" applyAlignment="1">
      <alignment indent="3"/>
    </xf>
    <xf numFmtId="0" fontId="12" fillId="8" borderId="35" xfId="0" applyFont="1" applyFill="1" applyBorder="1" applyAlignment="1">
      <alignment indent="3"/>
    </xf>
    <xf numFmtId="0" fontId="0" fillId="0" borderId="36" xfId="0" applyBorder="1"/>
    <xf numFmtId="0" fontId="1" fillId="0" borderId="37" xfId="0" applyFont="1" applyBorder="1" applyAlignment="1">
      <alignment horizontal="center" vertical="center"/>
    </xf>
    <xf numFmtId="0" fontId="0" fillId="0" borderId="38" xfId="0" applyBorder="1"/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0" fillId="0" borderId="40" xfId="0" applyBorder="1"/>
    <xf numFmtId="0" fontId="1" fillId="0" borderId="41" xfId="0" applyFont="1" applyBorder="1" applyAlignment="1">
      <alignment horizontal="center" vertical="center"/>
    </xf>
    <xf numFmtId="0" fontId="0" fillId="0" borderId="42" xfId="0" applyBorder="1"/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43" xfId="0" applyBorder="1"/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6" xfId="0" applyBorder="1"/>
    <xf numFmtId="0" fontId="12" fillId="8" borderId="47" xfId="0" applyFont="1" applyFill="1" applyBorder="1" applyAlignment="1">
      <alignment indent="2"/>
    </xf>
    <xf numFmtId="0" fontId="1" fillId="0" borderId="46" xfId="0" applyFont="1" applyBorder="1"/>
    <xf numFmtId="0" fontId="12" fillId="8" borderId="48" xfId="0" applyFont="1" applyFill="1" applyBorder="1" applyAlignment="1">
      <alignment indent="2"/>
    </xf>
    <xf numFmtId="0" fontId="0" fillId="0" borderId="49" xfId="0" applyBorder="1"/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8" borderId="51" xfId="0" applyFont="1" applyFill="1" applyBorder="1" applyAlignment="1">
      <alignment indent="1"/>
    </xf>
    <xf numFmtId="0" fontId="11" fillId="8" borderId="31" xfId="0" applyFont="1" applyFill="1" applyBorder="1" applyAlignment="1">
      <alignment indent="1"/>
    </xf>
    <xf numFmtId="0" fontId="12" fillId="8" borderId="31" xfId="0" applyFont="1" applyFill="1" applyBorder="1" applyAlignment="1">
      <alignment indent="1"/>
    </xf>
    <xf numFmtId="0" fontId="12" fillId="8" borderId="47" xfId="0" applyFont="1" applyFill="1" applyBorder="1" applyAlignment="1">
      <alignment indent="1"/>
    </xf>
    <xf numFmtId="0" fontId="13" fillId="0" borderId="0" xfId="0" applyFont="1"/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3</xdr:row>
      <xdr:rowOff>106363</xdr:rowOff>
    </xdr:from>
    <xdr:to>
      <xdr:col>8</xdr:col>
      <xdr:colOff>2893316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1D9EE27-3567-4D03-BDEE-C46152D82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" y="289243"/>
          <a:ext cx="2645666" cy="442277"/>
        </a:xfrm>
        <a:prstGeom prst="rect">
          <a:avLst/>
        </a:prstGeom>
      </xdr:spPr>
    </xdr:pic>
    <xdr:clientData/>
  </xdr:twoCellAnchor>
  <xdr:twoCellAnchor editAs="oneCell">
    <xdr:from>
      <xdr:col>8</xdr:col>
      <xdr:colOff>4999037</xdr:colOff>
      <xdr:row>3</xdr:row>
      <xdr:rowOff>142874</xdr:rowOff>
    </xdr:from>
    <xdr:to>
      <xdr:col>11</xdr:col>
      <xdr:colOff>115541</xdr:colOff>
      <xdr:row>5</xdr:row>
      <xdr:rowOff>174624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80DDA43-D16F-4B9A-B07B-3449F05B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97257" y="325754"/>
          <a:ext cx="3361344" cy="397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9"/>
  <sheetViews>
    <sheetView workbookViewId="0">
      <selection activeCell="E8" sqref="E8:G9"/>
    </sheetView>
  </sheetViews>
  <sheetFormatPr baseColWidth="10" defaultRowHeight="14.4" x14ac:dyDescent="0.3"/>
  <sheetData>
    <row r="3" spans="5:8" x14ac:dyDescent="0.3">
      <c r="F3" t="s">
        <v>68</v>
      </c>
    </row>
    <row r="4" spans="5:8" x14ac:dyDescent="0.3">
      <c r="E4" s="32">
        <v>45261</v>
      </c>
      <c r="F4" s="34">
        <v>134.1</v>
      </c>
    </row>
    <row r="5" spans="5:8" x14ac:dyDescent="0.3">
      <c r="E5" s="32">
        <v>44896</v>
      </c>
      <c r="F5">
        <v>129.02000000000001</v>
      </c>
      <c r="G5" s="33">
        <f>+F4/F5</f>
        <v>1.0393737405053478</v>
      </c>
      <c r="H5" s="33"/>
    </row>
    <row r="6" spans="5:8" x14ac:dyDescent="0.3">
      <c r="E6" s="32">
        <v>44866</v>
      </c>
      <c r="F6">
        <v>128.65</v>
      </c>
      <c r="G6" s="33"/>
      <c r="H6" s="33">
        <f>+F4/F6</f>
        <v>1.0423630003886513</v>
      </c>
    </row>
    <row r="8" spans="5:8" x14ac:dyDescent="0.3">
      <c r="E8" s="32">
        <v>45231</v>
      </c>
      <c r="F8">
        <v>134.82</v>
      </c>
    </row>
    <row r="9" spans="5:8" x14ac:dyDescent="0.3">
      <c r="E9" s="32">
        <v>44866</v>
      </c>
      <c r="F9">
        <f>+F6</f>
        <v>128.65</v>
      </c>
      <c r="G9" s="33">
        <f>+F8/F9</f>
        <v>1.0479595802565098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showGridLines="0" workbookViewId="0">
      <selection activeCell="F17" sqref="F17"/>
    </sheetView>
  </sheetViews>
  <sheetFormatPr baseColWidth="10" defaultRowHeight="14.4" x14ac:dyDescent="0.3"/>
  <cols>
    <col min="2" max="2" width="11.77734375" customWidth="1"/>
    <col min="3" max="3" width="11.21875" customWidth="1"/>
    <col min="4" max="4" width="8.5546875" style="3" customWidth="1"/>
    <col min="5" max="5" width="11.77734375" style="3" customWidth="1"/>
    <col min="6" max="6" width="16.44140625" style="3" customWidth="1"/>
    <col min="7" max="7" width="11.33203125" style="3" customWidth="1"/>
    <col min="8" max="8" width="13.21875" customWidth="1"/>
    <col min="9" max="10" width="11.44140625" bestFit="1" customWidth="1"/>
    <col min="11" max="11" width="12.21875" customWidth="1"/>
    <col min="12" max="12" width="1.5546875" customWidth="1"/>
    <col min="13" max="13" width="14" bestFit="1" customWidth="1"/>
  </cols>
  <sheetData>
    <row r="1" spans="2:14" ht="15" thickBot="1" x14ac:dyDescent="0.35"/>
    <row r="2" spans="2:14" x14ac:dyDescent="0.3">
      <c r="B2" s="97" t="s">
        <v>152</v>
      </c>
      <c r="C2" s="98"/>
      <c r="D2" s="155"/>
      <c r="E2" s="155"/>
      <c r="F2" s="155"/>
      <c r="G2" s="155"/>
      <c r="H2" s="98"/>
      <c r="I2" s="98"/>
      <c r="J2" s="98"/>
      <c r="K2" s="98"/>
      <c r="L2" s="98"/>
      <c r="M2" s="100"/>
    </row>
    <row r="3" spans="2:14" x14ac:dyDescent="0.3">
      <c r="B3" s="84"/>
      <c r="C3" s="24"/>
      <c r="D3" s="25" t="s">
        <v>165</v>
      </c>
      <c r="E3" s="25" t="s">
        <v>165</v>
      </c>
      <c r="F3" s="25" t="s">
        <v>165</v>
      </c>
      <c r="G3" s="25" t="s">
        <v>165</v>
      </c>
      <c r="H3" s="25" t="s">
        <v>166</v>
      </c>
      <c r="I3" s="25" t="s">
        <v>166</v>
      </c>
      <c r="J3" s="25" t="s">
        <v>166</v>
      </c>
      <c r="K3" s="25" t="s">
        <v>166</v>
      </c>
      <c r="L3" s="24"/>
      <c r="M3" s="92"/>
    </row>
    <row r="4" spans="2:14" s="57" customFormat="1" ht="28.8" x14ac:dyDescent="0.3">
      <c r="B4" s="156" t="s">
        <v>34</v>
      </c>
      <c r="C4" s="157" t="s">
        <v>157</v>
      </c>
      <c r="D4" s="157" t="s">
        <v>158</v>
      </c>
      <c r="E4" s="157" t="str">
        <f>+E15</f>
        <v>V Util restante</v>
      </c>
      <c r="F4" s="157" t="s">
        <v>171</v>
      </c>
      <c r="G4" s="157" t="s">
        <v>167</v>
      </c>
      <c r="H4" s="157" t="s">
        <v>153</v>
      </c>
      <c r="I4" s="157" t="s">
        <v>154</v>
      </c>
      <c r="J4" s="157" t="s">
        <v>155</v>
      </c>
      <c r="K4" s="157" t="s">
        <v>3</v>
      </c>
      <c r="L4" s="157"/>
      <c r="M4" s="158"/>
    </row>
    <row r="5" spans="2:14" x14ac:dyDescent="0.3">
      <c r="B5" s="84"/>
      <c r="C5" s="24"/>
      <c r="D5" s="25"/>
      <c r="E5" s="25"/>
      <c r="F5" s="25"/>
      <c r="G5" s="25"/>
      <c r="H5" s="24"/>
      <c r="I5" s="24"/>
      <c r="J5" s="24"/>
      <c r="K5" s="24"/>
      <c r="L5" s="24"/>
      <c r="M5" s="92"/>
    </row>
    <row r="6" spans="2:14" x14ac:dyDescent="0.3">
      <c r="B6" s="84" t="s">
        <v>156</v>
      </c>
      <c r="C6" s="23">
        <v>44686</v>
      </c>
      <c r="D6" s="25" t="s">
        <v>164</v>
      </c>
      <c r="E6" s="25" t="s">
        <v>164</v>
      </c>
      <c r="F6" s="25" t="s">
        <v>164</v>
      </c>
      <c r="G6" s="25" t="s">
        <v>164</v>
      </c>
      <c r="H6" s="141">
        <v>150000000</v>
      </c>
      <c r="I6" s="141">
        <v>0</v>
      </c>
      <c r="J6" s="141">
        <v>0</v>
      </c>
      <c r="K6" s="141">
        <f>+H6-I6</f>
        <v>150000000</v>
      </c>
      <c r="L6" s="141"/>
      <c r="M6" s="159" t="s">
        <v>178</v>
      </c>
      <c r="N6" s="56"/>
    </row>
    <row r="7" spans="2:14" x14ac:dyDescent="0.3">
      <c r="B7" s="84" t="s">
        <v>159</v>
      </c>
      <c r="C7" s="23">
        <v>44686</v>
      </c>
      <c r="D7" s="25">
        <f>30*12</f>
        <v>360</v>
      </c>
      <c r="E7" s="25">
        <v>0</v>
      </c>
      <c r="F7" s="25">
        <v>7</v>
      </c>
      <c r="G7" s="25">
        <f>+D7-E7-F7</f>
        <v>353</v>
      </c>
      <c r="H7" s="141">
        <v>280000000</v>
      </c>
      <c r="I7" s="141">
        <f>(+H7/D7)*F7</f>
        <v>5444444.444444444</v>
      </c>
      <c r="J7" s="141">
        <f>+I7</f>
        <v>5444444.444444444</v>
      </c>
      <c r="K7" s="141">
        <f t="shared" ref="K7:K9" si="0">+H7-I7</f>
        <v>274555555.55555558</v>
      </c>
      <c r="L7" s="141"/>
      <c r="M7" s="159" t="s">
        <v>179</v>
      </c>
      <c r="N7" s="56"/>
    </row>
    <row r="8" spans="2:14" x14ac:dyDescent="0.3">
      <c r="B8" s="84" t="s">
        <v>160</v>
      </c>
      <c r="C8" s="23">
        <v>44749</v>
      </c>
      <c r="D8" s="25">
        <f>6*12</f>
        <v>72</v>
      </c>
      <c r="E8" s="25">
        <v>0</v>
      </c>
      <c r="F8" s="25">
        <v>6</v>
      </c>
      <c r="G8" s="25">
        <f t="shared" ref="G8:G9" si="1">+D8-E8-F8</f>
        <v>66</v>
      </c>
      <c r="H8" s="141">
        <v>150000000</v>
      </c>
      <c r="I8" s="141">
        <f t="shared" ref="I8:I9" si="2">(+H8/D8)*F8</f>
        <v>12500000</v>
      </c>
      <c r="J8" s="141">
        <f t="shared" ref="J8:J9" si="3">+I8</f>
        <v>12500000</v>
      </c>
      <c r="K8" s="141">
        <f t="shared" si="0"/>
        <v>137500000</v>
      </c>
      <c r="L8" s="141"/>
      <c r="M8" s="159" t="s">
        <v>178</v>
      </c>
      <c r="N8" s="56"/>
    </row>
    <row r="9" spans="2:14" x14ac:dyDescent="0.3">
      <c r="B9" s="84" t="s">
        <v>162</v>
      </c>
      <c r="C9" s="23">
        <v>44715</v>
      </c>
      <c r="D9" s="25">
        <f>12*4</f>
        <v>48</v>
      </c>
      <c r="E9" s="25">
        <v>0</v>
      </c>
      <c r="F9" s="25">
        <v>6</v>
      </c>
      <c r="G9" s="25">
        <f t="shared" si="1"/>
        <v>42</v>
      </c>
      <c r="H9" s="141">
        <v>35000000</v>
      </c>
      <c r="I9" s="141">
        <f t="shared" si="2"/>
        <v>4375000</v>
      </c>
      <c r="J9" s="141">
        <f t="shared" si="3"/>
        <v>4375000</v>
      </c>
      <c r="K9" s="141">
        <f t="shared" si="0"/>
        <v>30625000</v>
      </c>
      <c r="L9" s="141"/>
      <c r="M9" s="159" t="s">
        <v>178</v>
      </c>
      <c r="N9" s="56"/>
    </row>
    <row r="10" spans="2:14" x14ac:dyDescent="0.3">
      <c r="B10" s="84"/>
      <c r="C10" s="24"/>
      <c r="D10" s="25"/>
      <c r="E10" s="25"/>
      <c r="F10" s="25"/>
      <c r="G10" s="25"/>
      <c r="H10" s="141"/>
      <c r="I10" s="141"/>
      <c r="J10" s="141"/>
      <c r="K10" s="141"/>
      <c r="L10" s="141"/>
      <c r="M10" s="159"/>
      <c r="N10" s="56"/>
    </row>
    <row r="11" spans="2:14" ht="15" thickBot="1" x14ac:dyDescent="0.35">
      <c r="B11" s="160" t="s">
        <v>170</v>
      </c>
      <c r="C11" s="24"/>
      <c r="D11" s="25"/>
      <c r="E11" s="25"/>
      <c r="F11" s="25"/>
      <c r="G11" s="25"/>
      <c r="H11" s="59">
        <f>SUM(H6:H10)</f>
        <v>615000000</v>
      </c>
      <c r="I11" s="59">
        <f t="shared" ref="I11:K11" si="4">SUM(I6:I10)</f>
        <v>22319444.444444444</v>
      </c>
      <c r="J11" s="59">
        <f t="shared" si="4"/>
        <v>22319444.444444444</v>
      </c>
      <c r="K11" s="59">
        <f t="shared" si="4"/>
        <v>592680555.55555558</v>
      </c>
      <c r="L11" s="141"/>
      <c r="M11" s="159"/>
      <c r="N11" s="56"/>
    </row>
    <row r="12" spans="2:14" ht="15" thickTop="1" x14ac:dyDescent="0.3">
      <c r="B12" s="84"/>
      <c r="C12" s="24"/>
      <c r="D12" s="25"/>
      <c r="E12" s="25"/>
      <c r="F12" s="25"/>
      <c r="G12" s="25"/>
      <c r="H12" s="141"/>
      <c r="I12" s="141"/>
      <c r="J12" s="141"/>
      <c r="K12" s="141"/>
      <c r="L12" s="141"/>
      <c r="M12" s="159"/>
      <c r="N12" s="56"/>
    </row>
    <row r="13" spans="2:14" x14ac:dyDescent="0.3">
      <c r="B13" s="160" t="s">
        <v>168</v>
      </c>
      <c r="C13" s="24"/>
      <c r="D13" s="25"/>
      <c r="E13" s="25"/>
      <c r="F13" s="25"/>
      <c r="G13" s="25"/>
      <c r="H13" s="24"/>
      <c r="I13" s="24"/>
      <c r="J13" s="24"/>
      <c r="K13" s="24"/>
      <c r="L13" s="24"/>
      <c r="M13" s="92"/>
    </row>
    <row r="14" spans="2:14" x14ac:dyDescent="0.3">
      <c r="B14" s="84"/>
      <c r="C14" s="24"/>
      <c r="D14" s="25" t="s">
        <v>165</v>
      </c>
      <c r="E14" s="25" t="s">
        <v>165</v>
      </c>
      <c r="F14" s="25" t="s">
        <v>165</v>
      </c>
      <c r="G14" s="25" t="s">
        <v>165</v>
      </c>
      <c r="H14" s="25" t="s">
        <v>166</v>
      </c>
      <c r="I14" s="25" t="s">
        <v>166</v>
      </c>
      <c r="J14" s="25" t="s">
        <v>166</v>
      </c>
      <c r="K14" s="25" t="s">
        <v>166</v>
      </c>
      <c r="L14" s="24"/>
      <c r="M14" s="92"/>
    </row>
    <row r="15" spans="2:14" s="57" customFormat="1" ht="28.8" x14ac:dyDescent="0.3">
      <c r="B15" s="156" t="s">
        <v>34</v>
      </c>
      <c r="C15" s="157" t="s">
        <v>157</v>
      </c>
      <c r="D15" s="157" t="s">
        <v>158</v>
      </c>
      <c r="E15" s="157" t="str">
        <f>+G4</f>
        <v>V Util restante</v>
      </c>
      <c r="F15" s="157" t="s">
        <v>172</v>
      </c>
      <c r="G15" s="157" t="s">
        <v>167</v>
      </c>
      <c r="H15" s="157" t="s">
        <v>153</v>
      </c>
      <c r="I15" s="157" t="s">
        <v>154</v>
      </c>
      <c r="J15" s="157" t="s">
        <v>155</v>
      </c>
      <c r="K15" s="157" t="s">
        <v>3</v>
      </c>
      <c r="L15" s="157"/>
      <c r="M15" s="158"/>
    </row>
    <row r="16" spans="2:14" x14ac:dyDescent="0.3">
      <c r="B16" s="84"/>
      <c r="C16" s="24"/>
      <c r="D16" s="25"/>
      <c r="E16" s="25"/>
      <c r="F16" s="25"/>
      <c r="G16" s="25"/>
      <c r="H16" s="24"/>
      <c r="I16" s="24"/>
      <c r="J16" s="24"/>
      <c r="K16" s="24"/>
      <c r="L16" s="24"/>
      <c r="M16" s="92"/>
    </row>
    <row r="17" spans="2:14" x14ac:dyDescent="0.3">
      <c r="B17" s="84" t="s">
        <v>156</v>
      </c>
      <c r="C17" s="23">
        <v>44686</v>
      </c>
      <c r="D17" s="25" t="s">
        <v>164</v>
      </c>
      <c r="E17" s="25" t="str">
        <f>+G6</f>
        <v>N/A</v>
      </c>
      <c r="F17" s="25" t="s">
        <v>164</v>
      </c>
      <c r="G17" s="25" t="s">
        <v>164</v>
      </c>
      <c r="H17" s="141">
        <v>150000000</v>
      </c>
      <c r="I17" s="141">
        <f>+I6</f>
        <v>0</v>
      </c>
      <c r="J17" s="141">
        <v>0</v>
      </c>
      <c r="K17" s="141">
        <f t="shared" ref="K17:K22" si="5">+H17-I17</f>
        <v>150000000</v>
      </c>
      <c r="L17" s="141"/>
      <c r="M17" s="159"/>
      <c r="N17" s="56"/>
    </row>
    <row r="18" spans="2:14" x14ac:dyDescent="0.3">
      <c r="B18" s="84" t="s">
        <v>159</v>
      </c>
      <c r="C18" s="23">
        <v>44686</v>
      </c>
      <c r="D18" s="25">
        <f>30*12</f>
        <v>360</v>
      </c>
      <c r="E18" s="25">
        <f>+G7</f>
        <v>353</v>
      </c>
      <c r="F18" s="25">
        <v>6</v>
      </c>
      <c r="G18" s="25">
        <f>+E18-F18</f>
        <v>347</v>
      </c>
      <c r="H18" s="141">
        <v>280000000</v>
      </c>
      <c r="I18" s="141">
        <f>+I7+J18</f>
        <v>10111111.111111112</v>
      </c>
      <c r="J18" s="141">
        <f>+K7/E18*F18</f>
        <v>4666666.666666667</v>
      </c>
      <c r="K18" s="141">
        <f t="shared" si="5"/>
        <v>269888888.8888889</v>
      </c>
      <c r="L18" s="141"/>
      <c r="M18" s="159"/>
      <c r="N18" s="56"/>
    </row>
    <row r="19" spans="2:14" x14ac:dyDescent="0.3">
      <c r="B19" s="84" t="s">
        <v>160</v>
      </c>
      <c r="C19" s="23">
        <v>44749</v>
      </c>
      <c r="D19" s="25">
        <f>6*12</f>
        <v>72</v>
      </c>
      <c r="E19" s="25">
        <f>+G8</f>
        <v>66</v>
      </c>
      <c r="F19" s="25">
        <v>6</v>
      </c>
      <c r="G19" s="25">
        <f>+E19-F19</f>
        <v>60</v>
      </c>
      <c r="H19" s="141">
        <v>150000000</v>
      </c>
      <c r="I19" s="141">
        <f>+I8+J19</f>
        <v>23958333.333333336</v>
      </c>
      <c r="J19" s="141">
        <f>+K8/D19*F19</f>
        <v>11458333.333333334</v>
      </c>
      <c r="K19" s="141">
        <f t="shared" si="5"/>
        <v>126041666.66666666</v>
      </c>
      <c r="L19" s="141"/>
      <c r="M19" s="159"/>
      <c r="N19" s="56"/>
    </row>
    <row r="20" spans="2:14" x14ac:dyDescent="0.3">
      <c r="B20" s="84" t="s">
        <v>161</v>
      </c>
      <c r="C20" s="23">
        <f>+'Libro de Compras'!B17</f>
        <v>45087</v>
      </c>
      <c r="D20" s="25">
        <f>+D19</f>
        <v>72</v>
      </c>
      <c r="E20" s="25">
        <v>0</v>
      </c>
      <c r="F20" s="25">
        <v>1</v>
      </c>
      <c r="G20" s="25">
        <f>+D20-F20</f>
        <v>71</v>
      </c>
      <c r="H20" s="141">
        <f>+'Libro de Compras'!E30</f>
        <v>250000000</v>
      </c>
      <c r="I20" s="141">
        <f>+J20</f>
        <v>3472222.222222222</v>
      </c>
      <c r="J20" s="141">
        <f>+H20/D20*F20</f>
        <v>3472222.222222222</v>
      </c>
      <c r="K20" s="141">
        <f t="shared" si="5"/>
        <v>246527777.77777779</v>
      </c>
      <c r="L20" s="141"/>
      <c r="M20" s="159"/>
      <c r="N20" s="56"/>
    </row>
    <row r="21" spans="2:14" x14ac:dyDescent="0.3">
      <c r="B21" s="84" t="s">
        <v>162</v>
      </c>
      <c r="C21" s="23">
        <v>44715</v>
      </c>
      <c r="D21" s="25">
        <f>12*4</f>
        <v>48</v>
      </c>
      <c r="E21" s="25">
        <f>+G9</f>
        <v>42</v>
      </c>
      <c r="F21" s="25">
        <v>6</v>
      </c>
      <c r="G21" s="25">
        <f t="shared" ref="G21" si="6">+E21-F21</f>
        <v>36</v>
      </c>
      <c r="H21" s="141">
        <v>35000000</v>
      </c>
      <c r="I21" s="141">
        <f>+I9+J21</f>
        <v>8750000</v>
      </c>
      <c r="J21" s="141">
        <f>+K9/E21*F21</f>
        <v>4375000</v>
      </c>
      <c r="K21" s="141">
        <f t="shared" si="5"/>
        <v>26250000</v>
      </c>
      <c r="L21" s="141"/>
      <c r="M21" s="159"/>
      <c r="N21" s="56"/>
    </row>
    <row r="22" spans="2:14" x14ac:dyDescent="0.3">
      <c r="B22" s="84" t="s">
        <v>163</v>
      </c>
      <c r="C22" s="23">
        <f>+'Libro de Compras'!B7</f>
        <v>44969</v>
      </c>
      <c r="D22" s="25">
        <f>+D21</f>
        <v>48</v>
      </c>
      <c r="E22" s="25">
        <v>0</v>
      </c>
      <c r="F22" s="25">
        <v>5</v>
      </c>
      <c r="G22" s="25">
        <f>+D22-F22</f>
        <v>43</v>
      </c>
      <c r="H22" s="141">
        <f>+'Libro de Compras'!E7</f>
        <v>24350000</v>
      </c>
      <c r="I22" s="141">
        <f>+J22</f>
        <v>2536458.3333333335</v>
      </c>
      <c r="J22" s="141">
        <f>+H22/D22*F22</f>
        <v>2536458.3333333335</v>
      </c>
      <c r="K22" s="141">
        <f t="shared" si="5"/>
        <v>21813541.666666668</v>
      </c>
      <c r="L22" s="141"/>
      <c r="M22" s="159"/>
      <c r="N22" s="56"/>
    </row>
    <row r="23" spans="2:14" x14ac:dyDescent="0.3">
      <c r="B23" s="84"/>
      <c r="C23" s="24"/>
      <c r="D23" s="25"/>
      <c r="E23" s="25"/>
      <c r="F23" s="25"/>
      <c r="G23" s="25"/>
      <c r="H23" s="141"/>
      <c r="I23" s="141"/>
      <c r="J23" s="141"/>
      <c r="K23" s="141"/>
      <c r="L23" s="141"/>
      <c r="M23" s="159"/>
      <c r="N23" s="56"/>
    </row>
    <row r="24" spans="2:14" ht="15" thickBot="1" x14ac:dyDescent="0.35">
      <c r="B24" s="160" t="s">
        <v>169</v>
      </c>
      <c r="C24" s="24"/>
      <c r="D24" s="25"/>
      <c r="E24" s="25"/>
      <c r="F24" s="25"/>
      <c r="G24" s="25"/>
      <c r="H24" s="60">
        <f>SUM(H17:H23)</f>
        <v>889350000</v>
      </c>
      <c r="I24" s="60">
        <f t="shared" ref="I24:J24" si="7">SUM(I17:I23)</f>
        <v>48828125.000000007</v>
      </c>
      <c r="J24" s="60">
        <f t="shared" si="7"/>
        <v>26508680.555555556</v>
      </c>
      <c r="K24" s="60">
        <f>SUM(K17:K23)</f>
        <v>840521875</v>
      </c>
      <c r="L24" s="141"/>
      <c r="M24" s="159"/>
      <c r="N24" s="56"/>
    </row>
    <row r="25" spans="2:14" ht="15" thickTop="1" x14ac:dyDescent="0.3">
      <c r="B25" s="84"/>
      <c r="C25" s="24"/>
      <c r="D25" s="25"/>
      <c r="E25" s="25"/>
      <c r="F25" s="25"/>
      <c r="G25" s="25"/>
      <c r="H25" s="24"/>
      <c r="I25" s="24"/>
      <c r="J25" s="24"/>
      <c r="K25" s="24"/>
      <c r="L25" s="24"/>
      <c r="M25" s="92"/>
    </row>
    <row r="26" spans="2:14" x14ac:dyDescent="0.3">
      <c r="B26" s="84"/>
      <c r="C26" s="24"/>
      <c r="D26" s="25"/>
      <c r="E26" s="25"/>
      <c r="F26" s="161" t="s">
        <v>173</v>
      </c>
      <c r="G26" s="25"/>
      <c r="H26" s="140">
        <f>+H24-H11</f>
        <v>274350000</v>
      </c>
      <c r="I26" s="140">
        <f>+I24-I11</f>
        <v>26508680.555555563</v>
      </c>
      <c r="J26" s="24"/>
      <c r="K26" s="140">
        <f>+K24-K11</f>
        <v>247841319.44444442</v>
      </c>
      <c r="L26" s="24"/>
      <c r="M26" s="92"/>
    </row>
    <row r="27" spans="2:14" x14ac:dyDescent="0.3">
      <c r="B27" s="84"/>
      <c r="C27" s="24"/>
      <c r="D27" s="25"/>
      <c r="E27" s="25"/>
      <c r="F27" s="25"/>
      <c r="G27" s="25"/>
      <c r="H27" s="24"/>
      <c r="I27" s="24"/>
      <c r="J27" s="24"/>
      <c r="K27" s="24"/>
      <c r="L27" s="24"/>
      <c r="M27" s="92"/>
    </row>
    <row r="28" spans="2:14" x14ac:dyDescent="0.3">
      <c r="B28" s="84"/>
      <c r="C28" s="24"/>
      <c r="D28" s="25"/>
      <c r="E28" s="25"/>
      <c r="F28" s="25"/>
      <c r="G28" s="25"/>
      <c r="H28" s="140">
        <f>+H20</f>
        <v>250000000</v>
      </c>
      <c r="I28" s="140">
        <f>+J24</f>
        <v>26508680.555555556</v>
      </c>
      <c r="J28" s="24"/>
      <c r="K28" s="140">
        <f>+H30</f>
        <v>274350000</v>
      </c>
      <c r="L28" s="24"/>
      <c r="M28" s="92"/>
    </row>
    <row r="29" spans="2:14" x14ac:dyDescent="0.3">
      <c r="B29" s="84"/>
      <c r="C29" s="24"/>
      <c r="D29" s="25"/>
      <c r="E29" s="25"/>
      <c r="F29" s="25"/>
      <c r="G29" s="25"/>
      <c r="H29" s="140">
        <f>+H22</f>
        <v>24350000</v>
      </c>
      <c r="I29" s="140">
        <f>+I26-I28</f>
        <v>0</v>
      </c>
      <c r="J29" s="24"/>
      <c r="K29" s="140">
        <f>-I28</f>
        <v>-26508680.555555556</v>
      </c>
      <c r="L29" s="24"/>
      <c r="M29" s="92"/>
    </row>
    <row r="30" spans="2:14" ht="15" thickBot="1" x14ac:dyDescent="0.35">
      <c r="B30" s="84"/>
      <c r="C30" s="24"/>
      <c r="D30" s="25"/>
      <c r="E30" s="25"/>
      <c r="F30" s="25"/>
      <c r="G30" s="25"/>
      <c r="H30" s="61">
        <f>+H28+H29</f>
        <v>274350000</v>
      </c>
      <c r="I30" s="24"/>
      <c r="J30" s="24"/>
      <c r="K30" s="61">
        <f>+K28+K29</f>
        <v>247841319.44444445</v>
      </c>
      <c r="L30" s="24"/>
      <c r="M30" s="92"/>
    </row>
    <row r="31" spans="2:14" ht="15" thickTop="1" x14ac:dyDescent="0.3">
      <c r="B31" s="84"/>
      <c r="C31" s="24"/>
      <c r="D31" s="25"/>
      <c r="E31" s="25"/>
      <c r="F31" s="25"/>
      <c r="G31" s="25"/>
      <c r="H31" s="140">
        <f>+H30-H26</f>
        <v>0</v>
      </c>
      <c r="I31" s="24"/>
      <c r="J31" s="24"/>
      <c r="K31" s="140">
        <f>+K30-K26</f>
        <v>0</v>
      </c>
      <c r="L31" s="24"/>
      <c r="M31" s="92"/>
    </row>
    <row r="32" spans="2:14" ht="15" thickBot="1" x14ac:dyDescent="0.35">
      <c r="B32" s="96"/>
      <c r="C32" s="16"/>
      <c r="D32" s="17"/>
      <c r="E32" s="17"/>
      <c r="F32" s="17"/>
      <c r="G32" s="17"/>
      <c r="H32" s="16"/>
      <c r="I32" s="16"/>
      <c r="J32" s="16"/>
      <c r="K32" s="16"/>
      <c r="L32" s="16"/>
      <c r="M32" s="9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workbookViewId="0">
      <selection activeCell="E19" sqref="E19"/>
    </sheetView>
  </sheetViews>
  <sheetFormatPr baseColWidth="10" defaultRowHeight="14.4" x14ac:dyDescent="0.3"/>
  <cols>
    <col min="3" max="3" width="16.33203125" customWidth="1"/>
    <col min="4" max="4" width="19.21875" customWidth="1"/>
    <col min="5" max="5" width="16.109375" bestFit="1" customWidth="1"/>
  </cols>
  <sheetData>
    <row r="2" spans="2:6" ht="15" thickBot="1" x14ac:dyDescent="0.35"/>
    <row r="3" spans="2:6" x14ac:dyDescent="0.3">
      <c r="B3" s="114" t="s">
        <v>180</v>
      </c>
      <c r="C3" s="98"/>
      <c r="D3" s="98"/>
      <c r="E3" s="162">
        <f>+P.P.E.!H7</f>
        <v>280000000</v>
      </c>
      <c r="F3" s="163">
        <f>+P.P.E.!C7</f>
        <v>44686</v>
      </c>
    </row>
    <row r="4" spans="2:6" x14ac:dyDescent="0.3">
      <c r="B4" s="84"/>
      <c r="C4" s="24"/>
      <c r="D4" s="24"/>
      <c r="E4" s="24"/>
      <c r="F4" s="92"/>
    </row>
    <row r="5" spans="2:6" x14ac:dyDescent="0.3">
      <c r="B5" s="84" t="s">
        <v>181</v>
      </c>
      <c r="C5" s="24" t="s">
        <v>182</v>
      </c>
      <c r="D5" s="24"/>
      <c r="E5" s="115">
        <f>+E3*9%/2</f>
        <v>12600000</v>
      </c>
      <c r="F5" s="92"/>
    </row>
    <row r="6" spans="2:6" x14ac:dyDescent="0.3">
      <c r="B6" s="84"/>
      <c r="C6" s="24"/>
      <c r="D6" s="24"/>
      <c r="E6" s="24"/>
      <c r="F6" s="92"/>
    </row>
    <row r="7" spans="2:6" ht="15" thickBot="1" x14ac:dyDescent="0.35">
      <c r="B7" s="84" t="s">
        <v>186</v>
      </c>
      <c r="C7" s="24"/>
      <c r="D7" s="24"/>
      <c r="E7" s="63">
        <f>+E3+E5</f>
        <v>292600000</v>
      </c>
      <c r="F7" s="92"/>
    </row>
    <row r="8" spans="2:6" ht="15" thickTop="1" x14ac:dyDescent="0.3">
      <c r="B8" s="84"/>
      <c r="C8" s="24"/>
      <c r="D8" s="24"/>
      <c r="E8" s="24"/>
      <c r="F8" s="92"/>
    </row>
    <row r="9" spans="2:6" x14ac:dyDescent="0.3">
      <c r="B9" s="84" t="s">
        <v>183</v>
      </c>
      <c r="C9" s="24" t="s">
        <v>184</v>
      </c>
      <c r="D9" s="24"/>
      <c r="E9" s="116">
        <f>+E7*7%/2</f>
        <v>10241000.000000002</v>
      </c>
      <c r="F9" s="92"/>
    </row>
    <row r="10" spans="2:6" x14ac:dyDescent="0.3">
      <c r="B10" s="84"/>
      <c r="C10" s="24" t="s">
        <v>185</v>
      </c>
      <c r="D10" s="24"/>
      <c r="E10" s="164">
        <f>-E3/15-E5</f>
        <v>-31266666.666666668</v>
      </c>
      <c r="F10" s="92"/>
    </row>
    <row r="11" spans="2:6" x14ac:dyDescent="0.3">
      <c r="B11" s="84"/>
      <c r="C11" s="24" t="s">
        <v>188</v>
      </c>
      <c r="D11" s="24"/>
      <c r="E11" s="24"/>
      <c r="F11" s="92"/>
    </row>
    <row r="12" spans="2:6" x14ac:dyDescent="0.3">
      <c r="B12" s="84"/>
      <c r="C12" s="24" t="s">
        <v>189</v>
      </c>
      <c r="D12" s="24"/>
      <c r="E12" s="24"/>
      <c r="F12" s="92"/>
    </row>
    <row r="13" spans="2:6" x14ac:dyDescent="0.3">
      <c r="B13" s="84"/>
      <c r="C13" s="24"/>
      <c r="D13" s="24"/>
      <c r="E13" s="24"/>
      <c r="F13" s="92"/>
    </row>
    <row r="14" spans="2:6" ht="15" thickBot="1" x14ac:dyDescent="0.35">
      <c r="B14" s="84" t="s">
        <v>192</v>
      </c>
      <c r="C14" s="24"/>
      <c r="D14" s="24"/>
      <c r="E14" s="63">
        <f>+E7+E9+E10</f>
        <v>271574333.33333331</v>
      </c>
      <c r="F14" s="92"/>
    </row>
    <row r="15" spans="2:6" ht="15.6" thickTop="1" thickBot="1" x14ac:dyDescent="0.35">
      <c r="B15" s="96"/>
      <c r="C15" s="16"/>
      <c r="D15" s="16"/>
      <c r="E15" s="16"/>
      <c r="F15" s="9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showGridLines="0" workbookViewId="0">
      <selection activeCell="H19" sqref="H19"/>
    </sheetView>
  </sheetViews>
  <sheetFormatPr baseColWidth="10" defaultRowHeight="14.4" x14ac:dyDescent="0.3"/>
  <cols>
    <col min="7" max="7" width="15.77734375" bestFit="1" customWidth="1"/>
  </cols>
  <sheetData>
    <row r="2" spans="2:7" ht="15" thickBot="1" x14ac:dyDescent="0.35"/>
    <row r="3" spans="2:7" x14ac:dyDescent="0.3">
      <c r="B3" s="114" t="s">
        <v>194</v>
      </c>
      <c r="C3" s="98"/>
      <c r="D3" s="98"/>
      <c r="E3" s="98"/>
      <c r="F3" s="98"/>
      <c r="G3" s="165">
        <f>+P.P.E.!H6+P.P.E.!H8+P.P.E.!H9</f>
        <v>335000000</v>
      </c>
    </row>
    <row r="4" spans="2:7" x14ac:dyDescent="0.3">
      <c r="B4" s="84"/>
      <c r="C4" s="24"/>
      <c r="D4" s="24"/>
      <c r="E4" s="24"/>
      <c r="F4" s="24"/>
      <c r="G4" s="92"/>
    </row>
    <row r="5" spans="2:7" ht="15" thickBot="1" x14ac:dyDescent="0.35">
      <c r="B5" s="96" t="s">
        <v>195</v>
      </c>
      <c r="C5" s="16"/>
      <c r="D5" s="16"/>
      <c r="E5" s="16"/>
      <c r="F5" s="16"/>
      <c r="G5" s="166">
        <v>100000000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RowHeight="14.4" x14ac:dyDescent="0.3"/>
  <cols>
    <col min="2" max="2" width="4.33203125" style="3" bestFit="1" customWidth="1"/>
    <col min="3" max="3" width="32" bestFit="1" customWidth="1"/>
    <col min="4" max="11" width="14.6640625" customWidth="1"/>
  </cols>
  <sheetData>
    <row r="1" spans="2:11" ht="15" thickBot="1" x14ac:dyDescent="0.35"/>
    <row r="2" spans="2:11" ht="15" thickBot="1" x14ac:dyDescent="0.35">
      <c r="B2" s="91"/>
      <c r="C2" s="98"/>
      <c r="D2" s="195" t="s">
        <v>209</v>
      </c>
      <c r="E2" s="194"/>
      <c r="F2" s="194"/>
      <c r="G2" s="196"/>
      <c r="H2" s="192" t="s">
        <v>210</v>
      </c>
      <c r="I2" s="197"/>
      <c r="J2" s="192" t="s">
        <v>211</v>
      </c>
      <c r="K2" s="197"/>
    </row>
    <row r="3" spans="2:11" x14ac:dyDescent="0.3">
      <c r="B3" s="167" t="s">
        <v>206</v>
      </c>
      <c r="C3" s="102" t="s">
        <v>207</v>
      </c>
      <c r="D3" s="102" t="s">
        <v>137</v>
      </c>
      <c r="E3" s="102" t="s">
        <v>138</v>
      </c>
      <c r="F3" s="102" t="s">
        <v>139</v>
      </c>
      <c r="G3" s="102" t="s">
        <v>140</v>
      </c>
      <c r="H3" s="102" t="s">
        <v>150</v>
      </c>
      <c r="I3" s="102" t="s">
        <v>151</v>
      </c>
      <c r="J3" s="102" t="s">
        <v>35</v>
      </c>
      <c r="K3" s="103" t="s">
        <v>36</v>
      </c>
    </row>
    <row r="4" spans="2:11" x14ac:dyDescent="0.3">
      <c r="B4" s="136">
        <v>0</v>
      </c>
      <c r="C4" s="24" t="s">
        <v>104</v>
      </c>
      <c r="D4" s="26">
        <v>1002050636.9</v>
      </c>
      <c r="E4" s="26">
        <v>741567423.76666665</v>
      </c>
      <c r="F4" s="26">
        <v>260483213.13333333</v>
      </c>
      <c r="G4" s="26">
        <v>0</v>
      </c>
      <c r="H4" s="26">
        <v>260483213.13333333</v>
      </c>
      <c r="I4" s="26">
        <v>0</v>
      </c>
      <c r="J4" s="26">
        <v>0</v>
      </c>
      <c r="K4" s="72">
        <v>0</v>
      </c>
    </row>
    <row r="5" spans="2:11" x14ac:dyDescent="0.3">
      <c r="B5" s="136">
        <v>1</v>
      </c>
      <c r="C5" s="24" t="s">
        <v>33</v>
      </c>
      <c r="D5" s="26">
        <v>1393980736.9000001</v>
      </c>
      <c r="E5" s="26">
        <v>734050636.89999998</v>
      </c>
      <c r="F5" s="26">
        <v>659930100.00000012</v>
      </c>
      <c r="G5" s="26">
        <v>0</v>
      </c>
      <c r="H5" s="26">
        <v>659930100.00000012</v>
      </c>
      <c r="I5" s="26">
        <v>0</v>
      </c>
      <c r="J5" s="26">
        <v>0</v>
      </c>
      <c r="K5" s="72">
        <v>0</v>
      </c>
    </row>
    <row r="6" spans="2:11" x14ac:dyDescent="0.3">
      <c r="B6" s="136">
        <v>1</v>
      </c>
      <c r="C6" s="24" t="s">
        <v>175</v>
      </c>
      <c r="D6" s="26">
        <v>0</v>
      </c>
      <c r="E6" s="26">
        <v>48828125</v>
      </c>
      <c r="F6" s="26">
        <v>0</v>
      </c>
      <c r="G6" s="26">
        <v>48828125</v>
      </c>
      <c r="H6" s="26">
        <v>0</v>
      </c>
      <c r="I6" s="26">
        <v>48828125</v>
      </c>
      <c r="J6" s="26">
        <v>0</v>
      </c>
      <c r="K6" s="72">
        <v>0</v>
      </c>
    </row>
    <row r="7" spans="2:11" x14ac:dyDescent="0.3">
      <c r="B7" s="136">
        <v>1</v>
      </c>
      <c r="C7" s="24" t="s">
        <v>201</v>
      </c>
      <c r="D7" s="26">
        <v>223450000</v>
      </c>
      <c r="E7" s="26">
        <v>0</v>
      </c>
      <c r="F7" s="26">
        <v>223450000</v>
      </c>
      <c r="G7" s="26">
        <v>0</v>
      </c>
      <c r="H7" s="26">
        <v>223450000</v>
      </c>
      <c r="I7" s="26">
        <v>0</v>
      </c>
      <c r="J7" s="26">
        <v>0</v>
      </c>
      <c r="K7" s="72">
        <v>0</v>
      </c>
    </row>
    <row r="8" spans="2:11" x14ac:dyDescent="0.3">
      <c r="B8" s="136">
        <v>1</v>
      </c>
      <c r="C8" s="24" t="s">
        <v>159</v>
      </c>
      <c r="D8" s="26">
        <v>280000000</v>
      </c>
      <c r="E8" s="26">
        <v>0</v>
      </c>
      <c r="F8" s="26">
        <v>280000000</v>
      </c>
      <c r="G8" s="26">
        <v>0</v>
      </c>
      <c r="H8" s="26">
        <v>280000000</v>
      </c>
      <c r="I8" s="26">
        <v>0</v>
      </c>
      <c r="J8" s="26">
        <v>0</v>
      </c>
      <c r="K8" s="72">
        <v>0</v>
      </c>
    </row>
    <row r="9" spans="2:11" x14ac:dyDescent="0.3">
      <c r="B9" s="136">
        <v>1</v>
      </c>
      <c r="C9" s="24" t="s">
        <v>69</v>
      </c>
      <c r="D9" s="26">
        <v>81356955</v>
      </c>
      <c r="E9" s="26">
        <v>28912300</v>
      </c>
      <c r="F9" s="26">
        <v>52444655</v>
      </c>
      <c r="G9" s="26">
        <v>0</v>
      </c>
      <c r="H9" s="26">
        <v>52444655</v>
      </c>
      <c r="I9" s="26">
        <v>0</v>
      </c>
      <c r="J9" s="26">
        <v>0</v>
      </c>
      <c r="K9" s="72">
        <v>0</v>
      </c>
    </row>
    <row r="10" spans="2:11" x14ac:dyDescent="0.3">
      <c r="B10" s="136">
        <v>1</v>
      </c>
      <c r="C10" s="24" t="s">
        <v>72</v>
      </c>
      <c r="D10" s="26">
        <v>59350000</v>
      </c>
      <c r="E10" s="26">
        <v>0</v>
      </c>
      <c r="F10" s="26">
        <v>59350000</v>
      </c>
      <c r="G10" s="26">
        <v>0</v>
      </c>
      <c r="H10" s="26">
        <v>59350000</v>
      </c>
      <c r="I10" s="26">
        <v>0</v>
      </c>
      <c r="J10" s="26">
        <v>0</v>
      </c>
      <c r="K10" s="72">
        <v>0</v>
      </c>
    </row>
    <row r="11" spans="2:11" x14ac:dyDescent="0.3">
      <c r="B11" s="136">
        <v>1</v>
      </c>
      <c r="C11" s="24" t="s">
        <v>100</v>
      </c>
      <c r="D11" s="26">
        <v>37707070.200000003</v>
      </c>
      <c r="E11" s="26">
        <v>12000000</v>
      </c>
      <c r="F11" s="26">
        <v>25707070.200000003</v>
      </c>
      <c r="G11" s="26">
        <v>0</v>
      </c>
      <c r="H11" s="26">
        <v>25707070.200000003</v>
      </c>
      <c r="I11" s="26">
        <v>0</v>
      </c>
      <c r="J11" s="26">
        <v>0</v>
      </c>
      <c r="K11" s="72">
        <v>0</v>
      </c>
    </row>
    <row r="12" spans="2:11" x14ac:dyDescent="0.3">
      <c r="B12" s="136">
        <v>1</v>
      </c>
      <c r="C12" s="24" t="s">
        <v>200</v>
      </c>
      <c r="D12" s="26">
        <v>0</v>
      </c>
      <c r="E12" s="26">
        <v>20000000</v>
      </c>
      <c r="F12" s="26">
        <v>0</v>
      </c>
      <c r="G12" s="26">
        <v>20000000</v>
      </c>
      <c r="H12" s="26">
        <v>0</v>
      </c>
      <c r="I12" s="26">
        <v>20000000</v>
      </c>
      <c r="J12" s="26">
        <v>0</v>
      </c>
      <c r="K12" s="72">
        <v>0</v>
      </c>
    </row>
    <row r="13" spans="2:11" x14ac:dyDescent="0.3">
      <c r="B13" s="136">
        <v>1</v>
      </c>
      <c r="C13" s="24" t="s">
        <v>174</v>
      </c>
      <c r="D13" s="26">
        <v>150000000</v>
      </c>
      <c r="E13" s="26">
        <v>0</v>
      </c>
      <c r="F13" s="26">
        <v>150000000</v>
      </c>
      <c r="G13" s="26">
        <v>0</v>
      </c>
      <c r="H13" s="26">
        <v>150000000</v>
      </c>
      <c r="I13" s="26">
        <v>0</v>
      </c>
      <c r="J13" s="26">
        <v>0</v>
      </c>
      <c r="K13" s="72">
        <v>0</v>
      </c>
    </row>
    <row r="14" spans="2:11" x14ac:dyDescent="0.3">
      <c r="B14" s="136">
        <v>1</v>
      </c>
      <c r="C14" s="24" t="s">
        <v>73</v>
      </c>
      <c r="D14" s="26">
        <v>400000000</v>
      </c>
      <c r="E14" s="26">
        <v>0</v>
      </c>
      <c r="F14" s="26">
        <v>400000000</v>
      </c>
      <c r="G14" s="26">
        <v>0</v>
      </c>
      <c r="H14" s="26">
        <v>400000000</v>
      </c>
      <c r="I14" s="26">
        <v>0</v>
      </c>
      <c r="J14" s="26">
        <v>0</v>
      </c>
      <c r="K14" s="72">
        <v>0</v>
      </c>
    </row>
    <row r="15" spans="2:11" x14ac:dyDescent="0.3">
      <c r="B15" s="136">
        <v>2</v>
      </c>
      <c r="C15" s="24" t="s">
        <v>132</v>
      </c>
      <c r="D15" s="26">
        <v>0</v>
      </c>
      <c r="E15" s="26">
        <v>32900000</v>
      </c>
      <c r="F15" s="26">
        <v>0</v>
      </c>
      <c r="G15" s="26">
        <v>32900000</v>
      </c>
      <c r="H15" s="26">
        <v>0</v>
      </c>
      <c r="I15" s="26">
        <v>32900000</v>
      </c>
      <c r="J15" s="26">
        <v>0</v>
      </c>
      <c r="K15" s="72">
        <v>0</v>
      </c>
    </row>
    <row r="16" spans="2:11" x14ac:dyDescent="0.3">
      <c r="B16" s="136">
        <v>2</v>
      </c>
      <c r="C16" s="24" t="s">
        <v>63</v>
      </c>
      <c r="D16" s="26">
        <v>51199586.899999999</v>
      </c>
      <c r="E16" s="26">
        <v>149667086.90000001</v>
      </c>
      <c r="F16" s="26">
        <v>0</v>
      </c>
      <c r="G16" s="26">
        <v>98467500</v>
      </c>
      <c r="H16" s="26">
        <v>0</v>
      </c>
      <c r="I16" s="26">
        <v>98467500</v>
      </c>
      <c r="J16" s="26">
        <v>0</v>
      </c>
      <c r="K16" s="72">
        <v>0</v>
      </c>
    </row>
    <row r="17" spans="2:11" x14ac:dyDescent="0.3">
      <c r="B17" s="136">
        <v>2</v>
      </c>
      <c r="C17" s="24" t="s">
        <v>148</v>
      </c>
      <c r="D17" s="26">
        <v>0</v>
      </c>
      <c r="E17" s="26">
        <v>16055400</v>
      </c>
      <c r="F17" s="26">
        <v>0</v>
      </c>
      <c r="G17" s="26">
        <v>16055400</v>
      </c>
      <c r="H17" s="26">
        <v>0</v>
      </c>
      <c r="I17" s="26">
        <v>16055400</v>
      </c>
      <c r="J17" s="26">
        <v>0</v>
      </c>
      <c r="K17" s="72">
        <v>0</v>
      </c>
    </row>
    <row r="18" spans="2:11" x14ac:dyDescent="0.3">
      <c r="B18" s="136">
        <v>2</v>
      </c>
      <c r="C18" s="24" t="s">
        <v>187</v>
      </c>
      <c r="D18" s="26">
        <v>31266666.666666668</v>
      </c>
      <c r="E18" s="26">
        <v>302841000</v>
      </c>
      <c r="F18" s="26">
        <v>0</v>
      </c>
      <c r="G18" s="26">
        <v>271574333.33333331</v>
      </c>
      <c r="H18" s="26">
        <v>0</v>
      </c>
      <c r="I18" s="26">
        <v>271574333.33333331</v>
      </c>
      <c r="J18" s="26">
        <v>0</v>
      </c>
      <c r="K18" s="72">
        <v>0</v>
      </c>
    </row>
    <row r="19" spans="2:11" x14ac:dyDescent="0.3">
      <c r="B19" s="136">
        <v>2</v>
      </c>
      <c r="C19" s="24" t="s">
        <v>198</v>
      </c>
      <c r="D19" s="26">
        <v>0</v>
      </c>
      <c r="E19" s="26">
        <v>112000000.00000001</v>
      </c>
      <c r="F19" s="26">
        <v>0</v>
      </c>
      <c r="G19" s="26">
        <v>112000000.00000001</v>
      </c>
      <c r="H19" s="26">
        <v>0</v>
      </c>
      <c r="I19" s="26">
        <v>112000000.00000001</v>
      </c>
      <c r="J19" s="26">
        <v>0</v>
      </c>
      <c r="K19" s="72">
        <v>0</v>
      </c>
    </row>
    <row r="20" spans="2:11" x14ac:dyDescent="0.3">
      <c r="B20" s="136">
        <v>2</v>
      </c>
      <c r="C20" s="24" t="s">
        <v>74</v>
      </c>
      <c r="D20" s="26">
        <v>211561800</v>
      </c>
      <c r="E20" s="26">
        <v>563430955</v>
      </c>
      <c r="F20" s="26">
        <v>0</v>
      </c>
      <c r="G20" s="26">
        <v>351869155</v>
      </c>
      <c r="H20" s="26">
        <v>0</v>
      </c>
      <c r="I20" s="26">
        <v>351869155</v>
      </c>
      <c r="J20" s="26">
        <v>0</v>
      </c>
      <c r="K20" s="72">
        <v>0</v>
      </c>
    </row>
    <row r="21" spans="2:11" x14ac:dyDescent="0.3">
      <c r="B21" s="136">
        <v>2</v>
      </c>
      <c r="C21" s="24" t="s">
        <v>135</v>
      </c>
      <c r="D21" s="26">
        <v>269800000</v>
      </c>
      <c r="E21" s="26">
        <v>269800000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72">
        <v>0</v>
      </c>
    </row>
    <row r="22" spans="2:11" x14ac:dyDescent="0.3">
      <c r="B22" s="136">
        <v>2</v>
      </c>
      <c r="C22" s="24" t="s">
        <v>133</v>
      </c>
      <c r="D22" s="26">
        <v>0</v>
      </c>
      <c r="E22" s="26">
        <v>21300000</v>
      </c>
      <c r="F22" s="26">
        <v>0</v>
      </c>
      <c r="G22" s="26">
        <v>21300000</v>
      </c>
      <c r="H22" s="26">
        <v>0</v>
      </c>
      <c r="I22" s="26">
        <v>21300000</v>
      </c>
      <c r="J22" s="26">
        <v>0</v>
      </c>
      <c r="K22" s="72">
        <v>0</v>
      </c>
    </row>
    <row r="23" spans="2:11" x14ac:dyDescent="0.3">
      <c r="B23" s="136">
        <v>3</v>
      </c>
      <c r="C23" s="24" t="s">
        <v>101</v>
      </c>
      <c r="D23" s="26">
        <v>0</v>
      </c>
      <c r="E23" s="26">
        <v>435000000</v>
      </c>
      <c r="F23" s="26">
        <v>0</v>
      </c>
      <c r="G23" s="26">
        <v>435000000</v>
      </c>
      <c r="H23" s="26">
        <v>0</v>
      </c>
      <c r="I23" s="26">
        <v>435000000</v>
      </c>
      <c r="J23" s="26">
        <v>0</v>
      </c>
      <c r="K23" s="72">
        <v>0</v>
      </c>
    </row>
    <row r="24" spans="2:11" x14ac:dyDescent="0.3">
      <c r="B24" s="136">
        <v>3</v>
      </c>
      <c r="C24" s="24" t="s">
        <v>102</v>
      </c>
      <c r="D24" s="26">
        <v>0</v>
      </c>
      <c r="E24" s="26">
        <v>191161195.55555555</v>
      </c>
      <c r="F24" s="26">
        <v>0</v>
      </c>
      <c r="G24" s="26">
        <v>191161195.55555555</v>
      </c>
      <c r="H24" s="26">
        <v>0</v>
      </c>
      <c r="I24" s="26">
        <v>191161195.55555555</v>
      </c>
      <c r="J24" s="26">
        <v>0</v>
      </c>
      <c r="K24" s="72">
        <v>0</v>
      </c>
    </row>
    <row r="25" spans="2:11" x14ac:dyDescent="0.3">
      <c r="B25" s="136">
        <v>4</v>
      </c>
      <c r="C25" s="24" t="s">
        <v>52</v>
      </c>
      <c r="D25" s="26">
        <v>0</v>
      </c>
      <c r="E25" s="26">
        <v>1135353510</v>
      </c>
      <c r="F25" s="26">
        <v>0</v>
      </c>
      <c r="G25" s="26">
        <v>1135353510</v>
      </c>
      <c r="H25" s="26">
        <v>0</v>
      </c>
      <c r="I25" s="26">
        <v>0</v>
      </c>
      <c r="J25" s="26">
        <v>0</v>
      </c>
      <c r="K25" s="72">
        <v>1135353510</v>
      </c>
    </row>
    <row r="26" spans="2:11" x14ac:dyDescent="0.3">
      <c r="B26" s="136">
        <v>5</v>
      </c>
      <c r="C26" s="24" t="s">
        <v>58</v>
      </c>
      <c r="D26" s="26">
        <v>22000000</v>
      </c>
      <c r="E26" s="26">
        <v>0</v>
      </c>
      <c r="F26" s="26">
        <v>22000000</v>
      </c>
      <c r="G26" s="26">
        <v>0</v>
      </c>
      <c r="H26" s="26">
        <v>0</v>
      </c>
      <c r="I26" s="26">
        <v>0</v>
      </c>
      <c r="J26" s="26">
        <v>22000000</v>
      </c>
      <c r="K26" s="72">
        <v>0</v>
      </c>
    </row>
    <row r="27" spans="2:11" x14ac:dyDescent="0.3">
      <c r="B27" s="136">
        <v>5</v>
      </c>
      <c r="C27" s="24" t="s">
        <v>50</v>
      </c>
      <c r="D27" s="26">
        <v>55700000</v>
      </c>
      <c r="E27" s="26">
        <v>0</v>
      </c>
      <c r="F27" s="26">
        <v>55700000</v>
      </c>
      <c r="G27" s="26">
        <v>0</v>
      </c>
      <c r="H27" s="26">
        <v>0</v>
      </c>
      <c r="I27" s="26">
        <v>0</v>
      </c>
      <c r="J27" s="26">
        <v>55700000</v>
      </c>
      <c r="K27" s="72">
        <v>0</v>
      </c>
    </row>
    <row r="28" spans="2:11" x14ac:dyDescent="0.3">
      <c r="B28" s="136">
        <v>5</v>
      </c>
      <c r="C28" s="24" t="s">
        <v>115</v>
      </c>
      <c r="D28" s="26">
        <v>15000000</v>
      </c>
      <c r="E28" s="26">
        <v>0</v>
      </c>
      <c r="F28" s="26">
        <v>15000000</v>
      </c>
      <c r="G28" s="26">
        <v>0</v>
      </c>
      <c r="H28" s="26">
        <v>0</v>
      </c>
      <c r="I28" s="26">
        <v>0</v>
      </c>
      <c r="J28" s="26">
        <v>15000000</v>
      </c>
      <c r="K28" s="72">
        <v>0</v>
      </c>
    </row>
    <row r="29" spans="2:11" x14ac:dyDescent="0.3">
      <c r="B29" s="136">
        <v>5</v>
      </c>
      <c r="C29" s="24" t="s">
        <v>55</v>
      </c>
      <c r="D29" s="26">
        <v>33874500</v>
      </c>
      <c r="E29" s="26">
        <v>0</v>
      </c>
      <c r="F29" s="26">
        <v>33874500</v>
      </c>
      <c r="G29" s="26">
        <v>0</v>
      </c>
      <c r="H29" s="26">
        <v>0</v>
      </c>
      <c r="I29" s="26">
        <v>0</v>
      </c>
      <c r="J29" s="26">
        <v>33874500</v>
      </c>
      <c r="K29" s="72">
        <v>0</v>
      </c>
    </row>
    <row r="30" spans="2:11" x14ac:dyDescent="0.3">
      <c r="B30" s="136">
        <v>5</v>
      </c>
      <c r="C30" s="24" t="s">
        <v>176</v>
      </c>
      <c r="D30" s="26">
        <v>26508680.555555556</v>
      </c>
      <c r="E30" s="26">
        <v>0</v>
      </c>
      <c r="F30" s="26">
        <v>26508680.555555556</v>
      </c>
      <c r="G30" s="26">
        <v>0</v>
      </c>
      <c r="H30" s="26">
        <v>0</v>
      </c>
      <c r="I30" s="26">
        <v>0</v>
      </c>
      <c r="J30" s="26">
        <v>26508680.555555556</v>
      </c>
      <c r="K30" s="72">
        <v>0</v>
      </c>
    </row>
    <row r="31" spans="2:11" x14ac:dyDescent="0.3">
      <c r="B31" s="136">
        <v>5</v>
      </c>
      <c r="C31" s="24" t="s">
        <v>199</v>
      </c>
      <c r="D31" s="26">
        <v>20000000</v>
      </c>
      <c r="E31" s="26">
        <v>0</v>
      </c>
      <c r="F31" s="26">
        <v>20000000</v>
      </c>
      <c r="G31" s="26">
        <v>0</v>
      </c>
      <c r="H31" s="26">
        <v>0</v>
      </c>
      <c r="I31" s="26">
        <v>0</v>
      </c>
      <c r="J31" s="26">
        <v>20000000</v>
      </c>
      <c r="K31" s="72">
        <v>0</v>
      </c>
    </row>
    <row r="32" spans="2:11" x14ac:dyDescent="0.3">
      <c r="B32" s="136">
        <v>5</v>
      </c>
      <c r="C32" s="24" t="s">
        <v>202</v>
      </c>
      <c r="D32" s="26">
        <v>0</v>
      </c>
      <c r="E32" s="26">
        <v>23450000</v>
      </c>
      <c r="F32" s="26">
        <v>0</v>
      </c>
      <c r="G32" s="26">
        <v>23450000</v>
      </c>
      <c r="H32" s="26">
        <v>0</v>
      </c>
      <c r="I32" s="26">
        <v>0</v>
      </c>
      <c r="J32" s="26">
        <v>0</v>
      </c>
      <c r="K32" s="72">
        <v>23450000</v>
      </c>
    </row>
    <row r="33" spans="2:11" x14ac:dyDescent="0.3">
      <c r="B33" s="136">
        <v>5</v>
      </c>
      <c r="C33" s="24" t="s">
        <v>190</v>
      </c>
      <c r="D33" s="26">
        <v>10241000.000000002</v>
      </c>
      <c r="E33" s="26">
        <v>0</v>
      </c>
      <c r="F33" s="26">
        <v>10241000.000000002</v>
      </c>
      <c r="G33" s="26">
        <v>0</v>
      </c>
      <c r="H33" s="26">
        <v>0</v>
      </c>
      <c r="I33" s="26">
        <v>0</v>
      </c>
      <c r="J33" s="26">
        <v>10241000.000000002</v>
      </c>
      <c r="K33" s="72">
        <v>0</v>
      </c>
    </row>
    <row r="34" spans="2:11" x14ac:dyDescent="0.3">
      <c r="B34" s="136">
        <v>5</v>
      </c>
      <c r="C34" s="24" t="s">
        <v>226</v>
      </c>
      <c r="D34" s="26">
        <v>19000000</v>
      </c>
      <c r="E34" s="26">
        <v>0</v>
      </c>
      <c r="F34" s="26">
        <v>19000000</v>
      </c>
      <c r="G34" s="26">
        <v>0</v>
      </c>
      <c r="H34" s="26">
        <v>0</v>
      </c>
      <c r="I34" s="26">
        <v>0</v>
      </c>
      <c r="J34" s="26">
        <v>19000000</v>
      </c>
      <c r="K34" s="72">
        <v>0</v>
      </c>
    </row>
    <row r="35" spans="2:11" x14ac:dyDescent="0.3">
      <c r="B35" s="136">
        <v>5</v>
      </c>
      <c r="C35" s="24" t="s">
        <v>197</v>
      </c>
      <c r="D35" s="26">
        <v>112000000.00000001</v>
      </c>
      <c r="E35" s="26">
        <v>0</v>
      </c>
      <c r="F35" s="26">
        <v>112000000.00000001</v>
      </c>
      <c r="G35" s="26">
        <v>0</v>
      </c>
      <c r="H35" s="26">
        <v>0</v>
      </c>
      <c r="I35" s="26">
        <v>0</v>
      </c>
      <c r="J35" s="26">
        <v>112000000.00000001</v>
      </c>
      <c r="K35" s="72">
        <v>0</v>
      </c>
    </row>
    <row r="36" spans="2:11" x14ac:dyDescent="0.3">
      <c r="B36" s="136">
        <v>5</v>
      </c>
      <c r="C36" s="24" t="s">
        <v>57</v>
      </c>
      <c r="D36" s="26">
        <v>13450000</v>
      </c>
      <c r="E36" s="26">
        <v>0</v>
      </c>
      <c r="F36" s="26">
        <v>13450000</v>
      </c>
      <c r="G36" s="26">
        <v>0</v>
      </c>
      <c r="H36" s="26">
        <v>0</v>
      </c>
      <c r="I36" s="26">
        <v>0</v>
      </c>
      <c r="J36" s="26">
        <v>13450000</v>
      </c>
      <c r="K36" s="72">
        <v>0</v>
      </c>
    </row>
    <row r="37" spans="2:11" x14ac:dyDescent="0.3">
      <c r="B37" s="136">
        <v>5</v>
      </c>
      <c r="C37" s="24" t="s">
        <v>56</v>
      </c>
      <c r="D37" s="26">
        <v>16520000</v>
      </c>
      <c r="E37" s="26">
        <v>0</v>
      </c>
      <c r="F37" s="26">
        <v>16520000</v>
      </c>
      <c r="G37" s="26">
        <v>0</v>
      </c>
      <c r="H37" s="26">
        <v>0</v>
      </c>
      <c r="I37" s="26">
        <v>0</v>
      </c>
      <c r="J37" s="26">
        <v>16520000</v>
      </c>
      <c r="K37" s="72">
        <v>0</v>
      </c>
    </row>
    <row r="38" spans="2:11" x14ac:dyDescent="0.3">
      <c r="B38" s="136">
        <v>5</v>
      </c>
      <c r="C38" s="24" t="s">
        <v>54</v>
      </c>
      <c r="D38" s="26">
        <v>12300000</v>
      </c>
      <c r="E38" s="26">
        <v>0</v>
      </c>
      <c r="F38" s="26">
        <v>12300000</v>
      </c>
      <c r="G38" s="26">
        <v>0</v>
      </c>
      <c r="H38" s="26">
        <v>0</v>
      </c>
      <c r="I38" s="26">
        <v>0</v>
      </c>
      <c r="J38" s="26">
        <v>12300000</v>
      </c>
      <c r="K38" s="72">
        <v>0</v>
      </c>
    </row>
    <row r="39" spans="2:11" x14ac:dyDescent="0.3">
      <c r="B39" s="136">
        <v>5</v>
      </c>
      <c r="C39" s="24" t="s">
        <v>113</v>
      </c>
      <c r="D39" s="26">
        <v>290000000</v>
      </c>
      <c r="E39" s="26">
        <v>0</v>
      </c>
      <c r="F39" s="26">
        <v>290000000</v>
      </c>
      <c r="G39" s="26">
        <v>0</v>
      </c>
      <c r="H39" s="26">
        <v>0</v>
      </c>
      <c r="I39" s="26">
        <v>0</v>
      </c>
      <c r="J39" s="26">
        <v>290000000</v>
      </c>
      <c r="K39" s="72">
        <v>0</v>
      </c>
    </row>
    <row r="40" spans="2:11" x14ac:dyDescent="0.3">
      <c r="B40" s="136"/>
      <c r="C40" s="24"/>
      <c r="D40" s="24"/>
      <c r="E40" s="24"/>
      <c r="F40" s="24"/>
      <c r="G40" s="24"/>
      <c r="H40" s="24"/>
      <c r="I40" s="24"/>
      <c r="J40" s="24"/>
      <c r="K40" s="92"/>
    </row>
    <row r="41" spans="2:11" s="1" customFormat="1" x14ac:dyDescent="0.3">
      <c r="B41" s="128"/>
      <c r="C41" s="109" t="s">
        <v>212</v>
      </c>
      <c r="D41" s="66">
        <f>SUM(D4:D40)</f>
        <v>4838317633.1222219</v>
      </c>
      <c r="E41" s="66">
        <f t="shared" ref="E41:K41" si="0">SUM(E4:E40)</f>
        <v>4838317633.1222219</v>
      </c>
      <c r="F41" s="66">
        <f t="shared" si="0"/>
        <v>2757959218.8888888</v>
      </c>
      <c r="G41" s="66">
        <f t="shared" si="0"/>
        <v>2757959218.8888893</v>
      </c>
      <c r="H41" s="66">
        <f t="shared" si="0"/>
        <v>2111365038.3333335</v>
      </c>
      <c r="I41" s="66">
        <f t="shared" si="0"/>
        <v>1599155708.8888891</v>
      </c>
      <c r="J41" s="66">
        <f t="shared" si="0"/>
        <v>646594180.55555558</v>
      </c>
      <c r="K41" s="168">
        <f t="shared" si="0"/>
        <v>1158803510</v>
      </c>
    </row>
    <row r="42" spans="2:11" x14ac:dyDescent="0.3">
      <c r="B42" s="136"/>
      <c r="C42" s="24" t="s">
        <v>213</v>
      </c>
      <c r="D42" s="24"/>
      <c r="E42" s="24"/>
      <c r="F42" s="24"/>
      <c r="G42" s="24"/>
      <c r="H42" s="24"/>
      <c r="I42" s="26">
        <f>+H41-I41</f>
        <v>512209329.44444442</v>
      </c>
      <c r="J42" s="26">
        <f>+K41-J41</f>
        <v>512209329.44444442</v>
      </c>
      <c r="K42" s="92"/>
    </row>
    <row r="43" spans="2:11" s="1" customFormat="1" ht="15" thickBot="1" x14ac:dyDescent="0.35">
      <c r="B43" s="169"/>
      <c r="C43" s="87" t="s">
        <v>214</v>
      </c>
      <c r="D43" s="89">
        <f>+D41+D42</f>
        <v>4838317633.1222219</v>
      </c>
      <c r="E43" s="89">
        <f t="shared" ref="E43:K43" si="1">+E41+E42</f>
        <v>4838317633.1222219</v>
      </c>
      <c r="F43" s="89">
        <f t="shared" si="1"/>
        <v>2757959218.8888888</v>
      </c>
      <c r="G43" s="89">
        <f t="shared" si="1"/>
        <v>2757959218.8888893</v>
      </c>
      <c r="H43" s="89">
        <f t="shared" si="1"/>
        <v>2111365038.3333335</v>
      </c>
      <c r="I43" s="89">
        <f t="shared" si="1"/>
        <v>2111365038.3333335</v>
      </c>
      <c r="J43" s="89">
        <f t="shared" si="1"/>
        <v>1158803510</v>
      </c>
      <c r="K43" s="90">
        <f t="shared" si="1"/>
        <v>1158803510</v>
      </c>
    </row>
    <row r="45" spans="2:11" x14ac:dyDescent="0.3">
      <c r="E45" s="4">
        <f>+E41-D41</f>
        <v>0</v>
      </c>
      <c r="G45" s="4">
        <f>+G41-F41</f>
        <v>0</v>
      </c>
      <c r="I45" s="4">
        <f>+H43-I43</f>
        <v>0</v>
      </c>
      <c r="K45" s="4">
        <f>+J43-K43</f>
        <v>0</v>
      </c>
    </row>
  </sheetData>
  <sortState ref="B5:K40">
    <sortCondition ref="B5:B40"/>
    <sortCondition ref="C5:C40"/>
  </sortState>
  <mergeCells count="3">
    <mergeCell ref="D2:G2"/>
    <mergeCell ref="H2:I2"/>
    <mergeCell ref="J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9"/>
  <sheetViews>
    <sheetView workbookViewId="0">
      <selection activeCell="B25" sqref="B25"/>
    </sheetView>
  </sheetViews>
  <sheetFormatPr baseColWidth="10" defaultRowHeight="14.4" outlineLevelRow="1" outlineLevelCol="1" x14ac:dyDescent="0.3"/>
  <cols>
    <col min="1" max="1" width="7.88671875" customWidth="1"/>
    <col min="2" max="2" width="32" bestFit="1" customWidth="1"/>
    <col min="3" max="3" width="14" style="56" bestFit="1" customWidth="1"/>
    <col min="4" max="4" width="32" hidden="1" customWidth="1" outlineLevel="1"/>
    <col min="5" max="5" width="14" style="56" hidden="1" customWidth="1" outlineLevel="1"/>
    <col min="6" max="6" width="2.109375" style="56" customWidth="1" collapsed="1"/>
    <col min="7" max="7" width="26.5546875" bestFit="1" customWidth="1"/>
    <col min="8" max="8" width="14" style="56" bestFit="1" customWidth="1"/>
    <col min="9" max="9" width="19.5546875" hidden="1" customWidth="1" outlineLevel="1"/>
    <col min="10" max="10" width="14" hidden="1" customWidth="1" outlineLevel="1"/>
    <col min="11" max="11" width="11.5546875" collapsed="1"/>
  </cols>
  <sheetData>
    <row r="4" spans="2:10" x14ac:dyDescent="0.3">
      <c r="B4" t="str">
        <f>+D4</f>
        <v>Efectivo y Efectivo Equivalente Banco</v>
      </c>
      <c r="C4" s="56">
        <f>+E4+E5</f>
        <v>483933213.13333333</v>
      </c>
      <c r="D4" t="str">
        <f>+'Balance de Columnas'!C4</f>
        <v>Efectivo y Efectivo Equivalente Banco</v>
      </c>
      <c r="E4" s="56">
        <f>+'Balance de Columnas'!H4</f>
        <v>260483213.13333333</v>
      </c>
      <c r="G4" t="s">
        <v>218</v>
      </c>
      <c r="H4" s="56">
        <f>+J4</f>
        <v>271574333.33333331</v>
      </c>
      <c r="I4" t="str">
        <f>+'Balance de Columnas'!C18</f>
        <v>Préstamos Banco</v>
      </c>
      <c r="J4" s="4">
        <f>+'Balance de Columnas'!I18</f>
        <v>271574333.33333331</v>
      </c>
    </row>
    <row r="5" spans="2:10" hidden="1" outlineLevel="1" x14ac:dyDescent="0.3">
      <c r="B5" t="str">
        <f>+B4</f>
        <v>Efectivo y Efectivo Equivalente Banco</v>
      </c>
      <c r="D5" t="str">
        <f>+'Balance de Columnas'!C7</f>
        <v>Depósitos en USD</v>
      </c>
      <c r="E5" s="56">
        <f>+'Balance de Columnas'!H7</f>
        <v>223450000</v>
      </c>
    </row>
    <row r="6" spans="2:10" collapsed="1" x14ac:dyDescent="0.3">
      <c r="B6" t="s">
        <v>215</v>
      </c>
      <c r="C6" s="56">
        <f>+E6+E7</f>
        <v>639930100.00000012</v>
      </c>
      <c r="D6" t="str">
        <f>+'Balance de Columnas'!C5</f>
        <v>Clientes</v>
      </c>
      <c r="E6" s="56">
        <f>+'Balance de Columnas'!H5</f>
        <v>659930100.00000012</v>
      </c>
      <c r="G6" t="s">
        <v>219</v>
      </c>
      <c r="H6" s="56">
        <f>+J6+J7+J8+J9+J10+J11</f>
        <v>452092000</v>
      </c>
      <c r="I6" t="str">
        <f>+'Balance de Columnas'!C15</f>
        <v>AFP</v>
      </c>
      <c r="J6" s="4">
        <f>+'Balance de Columnas'!I15</f>
        <v>32900000</v>
      </c>
    </row>
    <row r="7" spans="2:10" hidden="1" outlineLevel="1" x14ac:dyDescent="0.3">
      <c r="B7" t="s">
        <v>215</v>
      </c>
      <c r="D7" t="str">
        <f>+'Balance de Columnas'!C12</f>
        <v>Provisión deterioro CxC</v>
      </c>
      <c r="E7" s="56">
        <f>-'Balance de Columnas'!I12</f>
        <v>-20000000</v>
      </c>
      <c r="G7" t="s">
        <v>219</v>
      </c>
      <c r="I7" t="str">
        <f>+'Balance de Columnas'!C22</f>
        <v>Salud (Isapre)</v>
      </c>
      <c r="J7" s="4">
        <f>+'Balance de Columnas'!I22</f>
        <v>21300000</v>
      </c>
    </row>
    <row r="8" spans="2:10" hidden="1" outlineLevel="1" x14ac:dyDescent="0.3">
      <c r="G8" t="s">
        <v>219</v>
      </c>
      <c r="I8" t="str">
        <f>+'Balance de Columnas'!C21</f>
        <v>Rem por Pagar</v>
      </c>
      <c r="J8" s="4">
        <f>+'Balance de Columnas'!I21</f>
        <v>0</v>
      </c>
    </row>
    <row r="9" spans="2:10" hidden="1" outlineLevel="1" x14ac:dyDescent="0.3">
      <c r="G9" t="s">
        <v>219</v>
      </c>
      <c r="I9" t="str">
        <f>+'Balance de Columnas'!C20</f>
        <v>Proveedores</v>
      </c>
      <c r="J9" s="4">
        <f>+'Balance de Columnas'!I20</f>
        <v>351869155</v>
      </c>
    </row>
    <row r="10" spans="2:10" hidden="1" outlineLevel="1" x14ac:dyDescent="0.3">
      <c r="G10" t="s">
        <v>219</v>
      </c>
      <c r="I10" t="str">
        <f>+'Balance de Columnas'!C16</f>
        <v>IVA DF</v>
      </c>
      <c r="J10" s="4">
        <f>+'Balance de Columnas'!I16</f>
        <v>98467500</v>
      </c>
    </row>
    <row r="11" spans="2:10" hidden="1" outlineLevel="1" x14ac:dyDescent="0.3">
      <c r="G11" t="s">
        <v>219</v>
      </c>
      <c r="I11" t="str">
        <f>+'Balance de Columnas'!C9</f>
        <v>IVA CF</v>
      </c>
      <c r="J11" s="4">
        <f>-'Balance de Columnas'!H9</f>
        <v>-52444655</v>
      </c>
    </row>
    <row r="12" spans="2:10" collapsed="1" x14ac:dyDescent="0.3">
      <c r="B12" t="s">
        <v>216</v>
      </c>
      <c r="C12" s="56">
        <f>+E12+E13</f>
        <v>9651670.200000003</v>
      </c>
      <c r="D12" t="str">
        <f>+'Balance de Columnas'!C11</f>
        <v>PPM</v>
      </c>
      <c r="E12" s="56">
        <f>+'Balance de Columnas'!H11</f>
        <v>25707070.200000003</v>
      </c>
      <c r="G12" t="s">
        <v>220</v>
      </c>
      <c r="H12" s="56">
        <f>+J12</f>
        <v>112000000.00000001</v>
      </c>
      <c r="I12" t="str">
        <f>+'Balance de Columnas'!C19</f>
        <v>Prov de Impto Renta</v>
      </c>
      <c r="J12" s="4">
        <f>+'Balance de Columnas'!I19</f>
        <v>112000000.00000001</v>
      </c>
    </row>
    <row r="13" spans="2:10" hidden="1" outlineLevel="1" x14ac:dyDescent="0.3">
      <c r="D13" t="str">
        <f>+'Balance de Columnas'!C17</f>
        <v>PPM por Pagar</v>
      </c>
      <c r="E13" s="56">
        <f>-'Balance de Columnas'!I17</f>
        <v>-16055400</v>
      </c>
    </row>
    <row r="14" spans="2:10" collapsed="1" x14ac:dyDescent="0.3"/>
    <row r="16" spans="2:10" x14ac:dyDescent="0.3">
      <c r="B16" t="s">
        <v>217</v>
      </c>
      <c r="C16" s="56">
        <f>+E16+E17+E18+E19+E20</f>
        <v>840521875</v>
      </c>
      <c r="D16" t="str">
        <f>+'Balance de Columnas'!C13</f>
        <v>Terrenos</v>
      </c>
      <c r="E16" s="56">
        <f>+'Balance de Columnas'!H13</f>
        <v>150000000</v>
      </c>
      <c r="G16" t="str">
        <f>+I16</f>
        <v>Capital</v>
      </c>
      <c r="H16" s="56">
        <f>+J16</f>
        <v>435000000</v>
      </c>
      <c r="I16" t="str">
        <f>+'Balance de Columnas'!C23</f>
        <v>Capital</v>
      </c>
      <c r="J16" s="4">
        <f>+'Balance de Columnas'!I23</f>
        <v>435000000</v>
      </c>
    </row>
    <row r="17" spans="2:10" hidden="1" outlineLevel="1" x14ac:dyDescent="0.3">
      <c r="B17" t="s">
        <v>217</v>
      </c>
      <c r="D17" t="str">
        <f>+'Balance de Columnas'!C8</f>
        <v>Edificaciones</v>
      </c>
      <c r="E17" s="56">
        <f>+'Balance de Columnas'!H8</f>
        <v>280000000</v>
      </c>
    </row>
    <row r="18" spans="2:10" hidden="1" outlineLevel="1" x14ac:dyDescent="0.3">
      <c r="B18" t="s">
        <v>217</v>
      </c>
      <c r="D18" t="str">
        <f>+'Balance de Columnas'!C14</f>
        <v>Vehículos (PPE)</v>
      </c>
      <c r="E18" s="56">
        <f>+'Balance de Columnas'!H14</f>
        <v>400000000</v>
      </c>
    </row>
    <row r="19" spans="2:10" hidden="1" outlineLevel="1" x14ac:dyDescent="0.3">
      <c r="B19" t="s">
        <v>217</v>
      </c>
      <c r="D19" t="str">
        <f>+'Balance de Columnas'!C10</f>
        <v>Muebles y ütiles (PPE)</v>
      </c>
      <c r="E19" s="56">
        <f>+'Balance de Columnas'!H10</f>
        <v>59350000</v>
      </c>
    </row>
    <row r="20" spans="2:10" hidden="1" outlineLevel="1" x14ac:dyDescent="0.3">
      <c r="B20" t="s">
        <v>217</v>
      </c>
      <c r="D20" t="str">
        <f>+'Balance de Columnas'!C6</f>
        <v>Dep Acum PPE</v>
      </c>
      <c r="E20" s="56">
        <f>-'Balance de Columnas'!I6</f>
        <v>-48828125</v>
      </c>
    </row>
    <row r="21" spans="2:10" collapsed="1" x14ac:dyDescent="0.3">
      <c r="G21" t="str">
        <f>+I21</f>
        <v>Resultados Acumulado</v>
      </c>
      <c r="H21" s="56">
        <f>+J21+J22</f>
        <v>703370525</v>
      </c>
      <c r="I21" t="str">
        <f>+'Balance de Columnas'!C24</f>
        <v>Resultados Acumulado</v>
      </c>
      <c r="J21" s="4">
        <f>+'Balance de Columnas'!I24</f>
        <v>191161195.55555555</v>
      </c>
    </row>
    <row r="22" spans="2:10" hidden="1" outlineLevel="1" x14ac:dyDescent="0.3">
      <c r="I22" t="str">
        <f>+'Balance de Columnas'!C42</f>
        <v>Resultado del Ejercicio</v>
      </c>
      <c r="J22" s="4">
        <f>+'Balance de Columnas'!J42</f>
        <v>512209329.44444442</v>
      </c>
    </row>
    <row r="23" spans="2:10" collapsed="1" x14ac:dyDescent="0.3"/>
    <row r="25" spans="2:10" s="1" customFormat="1" ht="15" thickBot="1" x14ac:dyDescent="0.35">
      <c r="B25" s="1" t="s">
        <v>221</v>
      </c>
      <c r="C25" s="59">
        <f>+C4+C6+C12+C16</f>
        <v>1974036858.3333335</v>
      </c>
      <c r="E25" s="59">
        <f>SUM(E4:E23)</f>
        <v>1974036858.3333335</v>
      </c>
      <c r="F25" s="67"/>
      <c r="H25" s="59">
        <f>+H4+H6+H12+H16+H21</f>
        <v>1974036858.3333333</v>
      </c>
      <c r="J25" s="59">
        <f>SUM(J4:J23)</f>
        <v>1974036858.3333333</v>
      </c>
    </row>
    <row r="26" spans="2:10" ht="15" thickTop="1" x14ac:dyDescent="0.3">
      <c r="H26" s="56">
        <f>+H25-C25</f>
        <v>0</v>
      </c>
    </row>
    <row r="30" spans="2:10" x14ac:dyDescent="0.3">
      <c r="B30" t="str">
        <f>+B4</f>
        <v>Efectivo y Efectivo Equivalente Banco</v>
      </c>
    </row>
    <row r="31" spans="2:10" x14ac:dyDescent="0.3">
      <c r="B31" t="s">
        <v>21</v>
      </c>
      <c r="C31" s="56">
        <f>+'Registros Contables'!AA4</f>
        <v>156000000</v>
      </c>
    </row>
    <row r="32" spans="2:10" x14ac:dyDescent="0.3">
      <c r="B32" s="175" t="s">
        <v>239</v>
      </c>
      <c r="C32" s="176">
        <f>+C33-C31</f>
        <v>327933213.13333333</v>
      </c>
    </row>
    <row r="33" spans="2:3" ht="15" thickBot="1" x14ac:dyDescent="0.35">
      <c r="B33" t="s">
        <v>223</v>
      </c>
      <c r="C33" s="59">
        <f>+C4</f>
        <v>483933213.13333333</v>
      </c>
    </row>
    <row r="34" spans="2:3" ht="15" thickTop="1" x14ac:dyDescent="0.3"/>
    <row r="37" spans="2:3" x14ac:dyDescent="0.3">
      <c r="B37" t="s">
        <v>33</v>
      </c>
      <c r="C37" s="56">
        <f>+'Registros Contables'!C4</f>
        <v>108960140</v>
      </c>
    </row>
    <row r="38" spans="2:3" x14ac:dyDescent="0.3">
      <c r="B38" t="s">
        <v>277</v>
      </c>
      <c r="C38" s="56">
        <f>+'Registros Contables'!C46</f>
        <v>15000000</v>
      </c>
    </row>
    <row r="39" spans="2:3" x14ac:dyDescent="0.3">
      <c r="B39" t="s">
        <v>74</v>
      </c>
      <c r="C39" s="56">
        <f>+'Registros Contables'!P18</f>
        <v>53879500</v>
      </c>
    </row>
    <row r="41" spans="2:3" x14ac:dyDescent="0.3">
      <c r="B41" t="s">
        <v>278</v>
      </c>
    </row>
    <row r="42" spans="2:3" x14ac:dyDescent="0.3">
      <c r="B42" t="str">
        <f>+B37</f>
        <v>Clientes</v>
      </c>
      <c r="C42" s="56">
        <f>+C6-C37</f>
        <v>530969960.00000012</v>
      </c>
    </row>
    <row r="43" spans="2:3" x14ac:dyDescent="0.3">
      <c r="B43" t="str">
        <f t="shared" ref="B43:B44" si="0">+B38</f>
        <v>Impuestos por recuperar</v>
      </c>
      <c r="C43" s="56">
        <f>+C12-C38</f>
        <v>-5348329.799999997</v>
      </c>
    </row>
    <row r="44" spans="2:3" x14ac:dyDescent="0.3">
      <c r="B44" t="str">
        <f t="shared" si="0"/>
        <v>Proveedores</v>
      </c>
      <c r="C44" s="56">
        <f>+H6-C39</f>
        <v>398212500</v>
      </c>
    </row>
    <row r="46" spans="2:3" x14ac:dyDescent="0.3">
      <c r="B46" t="s">
        <v>223</v>
      </c>
    </row>
    <row r="47" spans="2:3" x14ac:dyDescent="0.3">
      <c r="B47" t="str">
        <f>+B42</f>
        <v>Clientes</v>
      </c>
      <c r="C47" s="56">
        <f>+C37+C42</f>
        <v>639930100.00000012</v>
      </c>
    </row>
    <row r="48" spans="2:3" x14ac:dyDescent="0.3">
      <c r="B48" t="str">
        <f t="shared" ref="B48:B49" si="1">+B43</f>
        <v>Impuestos por recuperar</v>
      </c>
      <c r="C48" s="56">
        <f t="shared" ref="C48:C49" si="2">+C38+C43</f>
        <v>9651670.200000003</v>
      </c>
    </row>
    <row r="49" spans="2:3" x14ac:dyDescent="0.3">
      <c r="B49" t="str">
        <f t="shared" si="1"/>
        <v>Proveedores</v>
      </c>
      <c r="C49" s="56">
        <f t="shared" si="2"/>
        <v>452092000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>
      <selection activeCell="K35" sqref="K35"/>
    </sheetView>
  </sheetViews>
  <sheetFormatPr baseColWidth="10" defaultRowHeight="14.4" outlineLevelRow="1" outlineLevelCol="1" x14ac:dyDescent="0.3"/>
  <cols>
    <col min="2" max="2" width="32.21875" customWidth="1"/>
    <col min="3" max="3" width="13.6640625" bestFit="1" customWidth="1"/>
    <col min="4" max="4" width="24.77734375" hidden="1" customWidth="1" outlineLevel="1"/>
    <col min="5" max="5" width="13.6640625" style="56" hidden="1" customWidth="1" outlineLevel="1"/>
    <col min="6" max="6" width="11.5546875" collapsed="1"/>
    <col min="11" max="11" width="12.21875" bestFit="1" customWidth="1"/>
  </cols>
  <sheetData>
    <row r="2" spans="2:6" x14ac:dyDescent="0.3">
      <c r="B2" s="6" t="s">
        <v>237</v>
      </c>
      <c r="D2" t="s">
        <v>236</v>
      </c>
    </row>
    <row r="4" spans="2:6" x14ac:dyDescent="0.3">
      <c r="B4" t="s">
        <v>227</v>
      </c>
      <c r="C4" s="49">
        <f>-E4</f>
        <v>1135353510</v>
      </c>
      <c r="D4" t="str">
        <f>+'Balance de Columnas'!C25</f>
        <v>Ventas</v>
      </c>
      <c r="E4" s="56">
        <f>-'Balance de Columnas'!K25</f>
        <v>-1135353510</v>
      </c>
    </row>
    <row r="6" spans="2:6" x14ac:dyDescent="0.3">
      <c r="B6" t="s">
        <v>228</v>
      </c>
      <c r="C6" s="49">
        <f>-E6-E7-E8-E9-E10</f>
        <v>-374394500</v>
      </c>
      <c r="D6" t="str">
        <f>+'Balance de Columnas'!C39</f>
        <v>Sueldos Base</v>
      </c>
      <c r="E6" s="56">
        <f>+'Balance de Columnas'!J39</f>
        <v>290000000</v>
      </c>
    </row>
    <row r="7" spans="2:6" hidden="1" outlineLevel="1" x14ac:dyDescent="0.3">
      <c r="D7" t="str">
        <f>+'Balance de Columnas'!C34</f>
        <v>Gratificacción</v>
      </c>
      <c r="E7" s="56">
        <f>+'Balance de Columnas'!J34</f>
        <v>19000000</v>
      </c>
    </row>
    <row r="8" spans="2:6" hidden="1" outlineLevel="1" x14ac:dyDescent="0.3">
      <c r="D8" t="str">
        <f>+'Balance de Columnas'!C28</f>
        <v>Asignaciones</v>
      </c>
      <c r="E8" s="56">
        <f>+'Balance de Columnas'!J28</f>
        <v>15000000</v>
      </c>
    </row>
    <row r="9" spans="2:6" hidden="1" outlineLevel="1" x14ac:dyDescent="0.3">
      <c r="D9" t="str">
        <f>+'Balance de Columnas'!C29</f>
        <v>Combustible</v>
      </c>
      <c r="E9" s="56">
        <f>+'Balance de Columnas'!J29</f>
        <v>33874500</v>
      </c>
    </row>
    <row r="10" spans="2:6" hidden="1" outlineLevel="1" x14ac:dyDescent="0.3">
      <c r="D10" t="str">
        <f>+'Balance de Columnas'!C37</f>
        <v>Repuestos</v>
      </c>
      <c r="E10" s="56">
        <f>+'Balance de Columnas'!J37</f>
        <v>16520000</v>
      </c>
    </row>
    <row r="11" spans="2:6" collapsed="1" x14ac:dyDescent="0.3"/>
    <row r="12" spans="2:6" x14ac:dyDescent="0.3">
      <c r="B12" t="s">
        <v>229</v>
      </c>
      <c r="C12" s="170">
        <f>+C4+C6</f>
        <v>760959010</v>
      </c>
      <c r="F12" s="172">
        <f>+C12/$C$4</f>
        <v>0.67023971238702562</v>
      </c>
    </row>
    <row r="14" spans="2:6" x14ac:dyDescent="0.3">
      <c r="B14" t="s">
        <v>230</v>
      </c>
      <c r="C14" s="49">
        <f>-E14-E15-E16-E17-E19-E21</f>
        <v>-149958680.55555555</v>
      </c>
      <c r="D14" t="str">
        <f>+'Balance de Columnas'!C26</f>
        <v>Artículos de librería</v>
      </c>
      <c r="E14" s="56">
        <f>+'Balance de Columnas'!J26</f>
        <v>22000000</v>
      </c>
    </row>
    <row r="15" spans="2:6" hidden="1" outlineLevel="1" x14ac:dyDescent="0.3">
      <c r="D15" t="str">
        <f>+'Balance de Columnas'!C27</f>
        <v>Asesorias</v>
      </c>
      <c r="E15" s="56">
        <f>+'Balance de Columnas'!J27</f>
        <v>55700000</v>
      </c>
    </row>
    <row r="16" spans="2:6" hidden="1" outlineLevel="1" x14ac:dyDescent="0.3">
      <c r="D16" t="str">
        <f>+'Balance de Columnas'!C38</f>
        <v>Servicios computacionales</v>
      </c>
      <c r="E16" s="56">
        <f>+'Balance de Columnas'!J38</f>
        <v>12300000</v>
      </c>
    </row>
    <row r="17" spans="2:7" hidden="1" outlineLevel="1" x14ac:dyDescent="0.3">
      <c r="D17" t="str">
        <f>+'Balance de Columnas'!C36</f>
        <v>Insumos computacionales</v>
      </c>
      <c r="E17" s="56">
        <f>+'Balance de Columnas'!J36</f>
        <v>13450000</v>
      </c>
    </row>
    <row r="18" spans="2:7" s="40" customFormat="1" ht="13.8" hidden="1" outlineLevel="1" x14ac:dyDescent="0.3">
      <c r="E18" s="171"/>
    </row>
    <row r="19" spans="2:7" hidden="1" outlineLevel="1" x14ac:dyDescent="0.3">
      <c r="D19" t="str">
        <f>+'Balance de Columnas'!C31</f>
        <v>Deterioro CxC</v>
      </c>
      <c r="E19" s="56">
        <f>+'Balance de Columnas'!J31</f>
        <v>20000000</v>
      </c>
    </row>
    <row r="20" spans="2:7" hidden="1" outlineLevel="1" x14ac:dyDescent="0.3"/>
    <row r="21" spans="2:7" hidden="1" outlineLevel="1" x14ac:dyDescent="0.3">
      <c r="D21" t="str">
        <f>+'Balance de Columnas'!C30</f>
        <v>Depreciación</v>
      </c>
      <c r="E21" s="56">
        <f>+'Balance de Columnas'!J30</f>
        <v>26508680.555555556</v>
      </c>
    </row>
    <row r="22" spans="2:7" collapsed="1" x14ac:dyDescent="0.3"/>
    <row r="23" spans="2:7" x14ac:dyDescent="0.3">
      <c r="B23" t="s">
        <v>231</v>
      </c>
      <c r="C23" s="170">
        <f>+C12+C14</f>
        <v>611000329.44444442</v>
      </c>
      <c r="F23" s="172">
        <f>+C23/$C$4</f>
        <v>0.538158665175963</v>
      </c>
    </row>
    <row r="25" spans="2:7" x14ac:dyDescent="0.3">
      <c r="B25" t="str">
        <f>+D25</f>
        <v>Gastos Financieros</v>
      </c>
      <c r="C25" s="49">
        <f>-E25</f>
        <v>-10241000.000000002</v>
      </c>
      <c r="D25" t="str">
        <f>+'Balance de Columnas'!C33</f>
        <v>Gastos Financieros</v>
      </c>
      <c r="E25" s="56">
        <f>+'Balance de Columnas'!J33</f>
        <v>10241000.000000002</v>
      </c>
    </row>
    <row r="26" spans="2:7" x14ac:dyDescent="0.3">
      <c r="B26" t="s">
        <v>232</v>
      </c>
      <c r="C26" s="49">
        <f>-E26</f>
        <v>23450000</v>
      </c>
      <c r="D26" t="str">
        <f>+'Balance de Columnas'!C32</f>
        <v>Dif de Cambio (No Realizada)</v>
      </c>
      <c r="E26" s="56">
        <f>-'Balance de Columnas'!K32</f>
        <v>-23450000</v>
      </c>
    </row>
    <row r="28" spans="2:7" x14ac:dyDescent="0.3">
      <c r="B28" t="s">
        <v>233</v>
      </c>
      <c r="C28" s="170">
        <f>+C23+C25+C26</f>
        <v>624209329.44444442</v>
      </c>
      <c r="F28" s="172">
        <f>+C28/$C$4</f>
        <v>0.54979292700160365</v>
      </c>
    </row>
    <row r="30" spans="2:7" x14ac:dyDescent="0.3">
      <c r="B30" t="s">
        <v>234</v>
      </c>
      <c r="C30" s="49">
        <f>-E30</f>
        <v>-112000000.00000001</v>
      </c>
      <c r="D30" t="str">
        <f>+'Balance de Columnas'!C35</f>
        <v>Impto Renta</v>
      </c>
      <c r="E30" s="56">
        <f>+'Balance de Columnas'!J35</f>
        <v>112000000.00000001</v>
      </c>
      <c r="G30" s="172">
        <f>+C30/C28</f>
        <v>-0.17942698821833003</v>
      </c>
    </row>
    <row r="32" spans="2:7" ht="15" thickBot="1" x14ac:dyDescent="0.35">
      <c r="B32" t="s">
        <v>235</v>
      </c>
      <c r="C32" s="61">
        <f>+C28+C30</f>
        <v>512209329.44444442</v>
      </c>
      <c r="D32" t="s">
        <v>213</v>
      </c>
      <c r="E32" s="58">
        <f>SUM(E4:E30)</f>
        <v>-512209329.44444442</v>
      </c>
      <c r="F32" s="172">
        <f>+C32/$C$4</f>
        <v>0.45114523796596567</v>
      </c>
    </row>
    <row r="33" spans="2:11" ht="15" thickTop="1" x14ac:dyDescent="0.3"/>
    <row r="35" spans="2:11" x14ac:dyDescent="0.3">
      <c r="B35" t="s">
        <v>238</v>
      </c>
    </row>
    <row r="36" spans="2:11" x14ac:dyDescent="0.3">
      <c r="B36" t="str">
        <f>+B32</f>
        <v>Resultado Final</v>
      </c>
      <c r="C36" s="49">
        <f>+C32</f>
        <v>512209329.44444442</v>
      </c>
      <c r="H36" s="175" t="s">
        <v>244</v>
      </c>
      <c r="I36" s="174"/>
      <c r="J36" s="174"/>
    </row>
    <row r="37" spans="2:11" x14ac:dyDescent="0.3">
      <c r="B37" t="str">
        <f>+B30</f>
        <v>Impuesto a las Ganancias</v>
      </c>
      <c r="C37" s="49">
        <f>-C30</f>
        <v>112000000.00000001</v>
      </c>
      <c r="H37" t="str">
        <f>+ESF!B4</f>
        <v>Efectivo y Efectivo Equivalente Banco</v>
      </c>
      <c r="K37" s="49">
        <f>+ESF!C4</f>
        <v>483933213.13333333</v>
      </c>
    </row>
    <row r="38" spans="2:11" x14ac:dyDescent="0.3">
      <c r="B38" t="str">
        <f>+B25</f>
        <v>Gastos Financieros</v>
      </c>
      <c r="C38" s="49">
        <f>-C25</f>
        <v>10241000.000000002</v>
      </c>
    </row>
    <row r="39" spans="2:11" x14ac:dyDescent="0.3">
      <c r="B39" t="str">
        <f>+D21</f>
        <v>Depreciación</v>
      </c>
      <c r="C39" s="49">
        <f>+E21</f>
        <v>26508680.555555556</v>
      </c>
    </row>
    <row r="40" spans="2:11" ht="15" thickBot="1" x14ac:dyDescent="0.35">
      <c r="B40" s="1" t="s">
        <v>238</v>
      </c>
      <c r="C40" s="173">
        <f>+C36+C37+C38+C39</f>
        <v>660959010</v>
      </c>
      <c r="F40" s="172">
        <f>+C40/C4</f>
        <v>0.58216141860520609</v>
      </c>
    </row>
    <row r="41" spans="2:11" ht="15" thickTop="1" x14ac:dyDescent="0.3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8"/>
  <sheetViews>
    <sheetView workbookViewId="0">
      <selection activeCell="E3" sqref="E3"/>
    </sheetView>
  </sheetViews>
  <sheetFormatPr baseColWidth="10" defaultRowHeight="14.4" x14ac:dyDescent="0.3"/>
  <cols>
    <col min="1" max="1" width="3.6640625" customWidth="1"/>
    <col min="2" max="2" width="28.77734375" bestFit="1" customWidth="1"/>
    <col min="3" max="3" width="13" customWidth="1"/>
    <col min="4" max="4" width="3.88671875" customWidth="1"/>
    <col min="5" max="5" width="12.77734375" style="24" customWidth="1"/>
    <col min="6" max="6" width="6.109375" style="24" customWidth="1"/>
    <col min="7" max="7" width="9.6640625" style="24" customWidth="1"/>
    <col min="8" max="8" width="13.6640625" bestFit="1" customWidth="1"/>
    <col min="9" max="9" width="12.21875" bestFit="1" customWidth="1"/>
    <col min="13" max="13" width="10.6640625" customWidth="1"/>
  </cols>
  <sheetData>
    <row r="2" spans="2:13" ht="15" thickBot="1" x14ac:dyDescent="0.35">
      <c r="E2" s="191" t="s">
        <v>286</v>
      </c>
      <c r="F2" s="191"/>
      <c r="G2" s="191"/>
      <c r="H2" s="191"/>
      <c r="I2" s="191"/>
      <c r="J2" s="191"/>
      <c r="K2" s="191"/>
      <c r="L2" s="191"/>
      <c r="M2" s="191"/>
    </row>
    <row r="3" spans="2:13" x14ac:dyDescent="0.3">
      <c r="B3" s="114" t="s">
        <v>245</v>
      </c>
      <c r="C3" s="178">
        <v>156000000</v>
      </c>
      <c r="E3" s="24" t="s">
        <v>245</v>
      </c>
      <c r="H3" s="47">
        <v>156000000</v>
      </c>
      <c r="I3" s="24"/>
      <c r="J3" s="24"/>
      <c r="K3" s="24"/>
      <c r="L3" s="24"/>
      <c r="M3" s="24"/>
    </row>
    <row r="4" spans="2:13" x14ac:dyDescent="0.3">
      <c r="B4" s="84" t="s">
        <v>240</v>
      </c>
      <c r="C4" s="72">
        <v>846050636.89999998</v>
      </c>
      <c r="E4" s="24" t="s">
        <v>248</v>
      </c>
      <c r="F4" s="24" t="s">
        <v>16</v>
      </c>
      <c r="G4" s="146">
        <v>44927</v>
      </c>
      <c r="H4" s="31">
        <v>41126400</v>
      </c>
      <c r="I4" s="26">
        <v>1390000</v>
      </c>
      <c r="J4" t="s">
        <v>249</v>
      </c>
      <c r="K4" s="26" t="s">
        <v>46</v>
      </c>
      <c r="L4" s="24"/>
      <c r="M4" s="24"/>
    </row>
    <row r="5" spans="2:13" x14ac:dyDescent="0.3">
      <c r="B5" s="84" t="s">
        <v>241</v>
      </c>
      <c r="C5" s="72">
        <v>-741567423.76666665</v>
      </c>
      <c r="E5" s="24" t="s">
        <v>248</v>
      </c>
      <c r="F5" s="24" t="s">
        <v>12</v>
      </c>
      <c r="G5" s="146">
        <v>44958</v>
      </c>
      <c r="H5" s="31">
        <v>16012640</v>
      </c>
      <c r="I5" s="26">
        <v>12300500</v>
      </c>
      <c r="J5" t="s">
        <v>249</v>
      </c>
      <c r="K5" s="26" t="s">
        <v>43</v>
      </c>
      <c r="L5" s="24"/>
      <c r="M5" s="24"/>
    </row>
    <row r="6" spans="2:13" ht="15" thickBot="1" x14ac:dyDescent="0.35">
      <c r="B6" s="86" t="s">
        <v>246</v>
      </c>
      <c r="C6" s="90">
        <f>SUM(C3:C5)</f>
        <v>260483213.13333333</v>
      </c>
      <c r="E6" s="24" t="s">
        <v>248</v>
      </c>
      <c r="F6" s="24" t="s">
        <v>10</v>
      </c>
      <c r="G6" s="146">
        <v>44958</v>
      </c>
      <c r="H6" s="31">
        <v>17890000</v>
      </c>
      <c r="I6" s="26">
        <v>16789000</v>
      </c>
      <c r="J6" t="s">
        <v>249</v>
      </c>
      <c r="K6" s="26" t="s">
        <v>37</v>
      </c>
      <c r="L6" s="24"/>
      <c r="M6" s="24"/>
    </row>
    <row r="7" spans="2:13" x14ac:dyDescent="0.3">
      <c r="E7" s="24" t="s">
        <v>248</v>
      </c>
      <c r="F7" s="24" t="s">
        <v>7</v>
      </c>
      <c r="G7" s="146">
        <v>44958</v>
      </c>
      <c r="H7" s="31">
        <v>18802000</v>
      </c>
      <c r="I7" s="26">
        <v>18088000</v>
      </c>
      <c r="J7" t="s">
        <v>249</v>
      </c>
      <c r="K7" s="26" t="s">
        <v>37</v>
      </c>
      <c r="L7" s="24"/>
      <c r="M7" s="24"/>
    </row>
    <row r="8" spans="2:13" x14ac:dyDescent="0.3">
      <c r="B8" s="6" t="s">
        <v>247</v>
      </c>
      <c r="E8" s="24" t="s">
        <v>248</v>
      </c>
      <c r="F8" s="24" t="s">
        <v>8</v>
      </c>
      <c r="G8" s="146">
        <v>44958</v>
      </c>
      <c r="H8" s="31">
        <v>19730200</v>
      </c>
      <c r="I8" s="26">
        <v>6902000</v>
      </c>
      <c r="J8" t="s">
        <v>249</v>
      </c>
      <c r="K8" s="26" t="s">
        <v>38</v>
      </c>
      <c r="L8" s="24"/>
      <c r="M8" s="24"/>
    </row>
    <row r="9" spans="2:13" x14ac:dyDescent="0.3">
      <c r="B9" t="s">
        <v>201</v>
      </c>
      <c r="C9" s="179">
        <v>223450000</v>
      </c>
      <c r="E9" s="24" t="s">
        <v>248</v>
      </c>
      <c r="F9" s="24" t="s">
        <v>9</v>
      </c>
      <c r="G9" s="146">
        <v>44986</v>
      </c>
      <c r="H9" s="31">
        <v>15860000</v>
      </c>
      <c r="I9" s="26">
        <v>2975000</v>
      </c>
      <c r="J9" t="s">
        <v>249</v>
      </c>
      <c r="K9" s="26" t="s">
        <v>41</v>
      </c>
      <c r="L9" s="24"/>
      <c r="M9" s="24"/>
    </row>
    <row r="10" spans="2:13" x14ac:dyDescent="0.3">
      <c r="E10" s="24" t="s">
        <v>248</v>
      </c>
      <c r="F10" s="24" t="s">
        <v>10</v>
      </c>
      <c r="G10" s="146">
        <v>44986</v>
      </c>
      <c r="H10" s="31">
        <v>42447300</v>
      </c>
      <c r="I10" s="26">
        <v>28976500</v>
      </c>
      <c r="J10" t="s">
        <v>249</v>
      </c>
      <c r="K10" s="26" t="s">
        <v>42</v>
      </c>
      <c r="L10" s="24" t="s">
        <v>129</v>
      </c>
      <c r="M10" s="4">
        <f>+I10/1.19*0.19</f>
        <v>4626500</v>
      </c>
    </row>
    <row r="11" spans="2:13" ht="15" thickBot="1" x14ac:dyDescent="0.35">
      <c r="B11" t="s">
        <v>103</v>
      </c>
      <c r="C11" s="5">
        <f>+C6+C9</f>
        <v>483933213.13333333</v>
      </c>
      <c r="E11" s="24" t="s">
        <v>248</v>
      </c>
      <c r="F11" s="24" t="s">
        <v>11</v>
      </c>
      <c r="G11" s="146">
        <v>44986</v>
      </c>
      <c r="H11" s="31">
        <v>35283500</v>
      </c>
      <c r="I11" s="26">
        <v>25525500</v>
      </c>
      <c r="J11" t="s">
        <v>249</v>
      </c>
      <c r="K11" s="26" t="s">
        <v>43</v>
      </c>
      <c r="L11" s="24"/>
      <c r="M11" s="24"/>
    </row>
    <row r="12" spans="2:13" ht="15" thickTop="1" x14ac:dyDescent="0.3">
      <c r="E12" s="24" t="s">
        <v>248</v>
      </c>
      <c r="F12" s="24" t="s">
        <v>7</v>
      </c>
      <c r="G12" s="146">
        <v>44986</v>
      </c>
      <c r="H12" s="31">
        <v>22562400</v>
      </c>
      <c r="I12" s="26">
        <v>22015000</v>
      </c>
      <c r="J12" t="s">
        <v>249</v>
      </c>
      <c r="K12" s="26" t="s">
        <v>37</v>
      </c>
      <c r="L12" s="24"/>
      <c r="M12" s="24"/>
    </row>
    <row r="13" spans="2:13" x14ac:dyDescent="0.3">
      <c r="E13" s="24" t="s">
        <v>248</v>
      </c>
      <c r="F13" s="24" t="s">
        <v>12</v>
      </c>
      <c r="G13" s="146">
        <v>45017</v>
      </c>
      <c r="H13" s="31">
        <v>42227150</v>
      </c>
      <c r="I13" s="26">
        <v>7021000</v>
      </c>
      <c r="J13" t="s">
        <v>249</v>
      </c>
      <c r="K13" s="26" t="s">
        <v>39</v>
      </c>
      <c r="L13" s="24"/>
      <c r="M13" s="24"/>
    </row>
    <row r="14" spans="2:13" x14ac:dyDescent="0.3">
      <c r="E14" s="24" t="s">
        <v>248</v>
      </c>
      <c r="F14" s="24" t="s">
        <v>13</v>
      </c>
      <c r="G14" s="146">
        <v>45017</v>
      </c>
      <c r="H14" s="31">
        <v>28500000</v>
      </c>
      <c r="I14" s="26">
        <v>13708800</v>
      </c>
      <c r="J14" t="s">
        <v>249</v>
      </c>
      <c r="K14" s="26" t="s">
        <v>40</v>
      </c>
      <c r="L14" s="24"/>
      <c r="M14" s="24"/>
    </row>
    <row r="15" spans="2:13" x14ac:dyDescent="0.3">
      <c r="E15" s="24" t="s">
        <v>248</v>
      </c>
      <c r="F15" s="24" t="s">
        <v>14</v>
      </c>
      <c r="G15" s="146">
        <v>45047</v>
      </c>
      <c r="H15" s="31">
        <v>38725705.899999999</v>
      </c>
      <c r="I15" s="26">
        <v>7735000</v>
      </c>
      <c r="J15" t="s">
        <v>249</v>
      </c>
      <c r="K15" s="26" t="s">
        <v>44</v>
      </c>
      <c r="L15" s="24"/>
      <c r="M15" s="24"/>
    </row>
    <row r="16" spans="2:13" x14ac:dyDescent="0.3">
      <c r="E16" s="24" t="s">
        <v>248</v>
      </c>
      <c r="F16" s="24" t="s">
        <v>15</v>
      </c>
      <c r="G16" s="146">
        <v>45047</v>
      </c>
      <c r="H16" s="31">
        <v>57804250</v>
      </c>
      <c r="I16" s="26">
        <v>16005500</v>
      </c>
      <c r="J16" t="s">
        <v>249</v>
      </c>
      <c r="K16" s="26" t="s">
        <v>45</v>
      </c>
      <c r="L16" s="24"/>
      <c r="M16" s="24"/>
    </row>
    <row r="17" spans="5:13" x14ac:dyDescent="0.3">
      <c r="E17" s="24" t="s">
        <v>248</v>
      </c>
      <c r="F17" s="24" t="s">
        <v>16</v>
      </c>
      <c r="G17" s="146">
        <v>45047</v>
      </c>
      <c r="H17" s="31">
        <v>31367091</v>
      </c>
      <c r="I17" s="26">
        <v>14280000</v>
      </c>
      <c r="J17" t="s">
        <v>249</v>
      </c>
      <c r="K17" s="26" t="s">
        <v>46</v>
      </c>
      <c r="L17" s="24"/>
      <c r="M17" s="24"/>
    </row>
    <row r="18" spans="5:13" x14ac:dyDescent="0.3">
      <c r="E18" s="24" t="s">
        <v>248</v>
      </c>
      <c r="F18" s="24" t="s">
        <v>17</v>
      </c>
      <c r="G18" s="146">
        <v>45078</v>
      </c>
      <c r="H18" s="31">
        <v>11721500</v>
      </c>
      <c r="I18" s="26">
        <v>11900000</v>
      </c>
      <c r="J18" t="s">
        <v>249</v>
      </c>
      <c r="K18" s="26" t="s">
        <v>47</v>
      </c>
      <c r="L18" s="24"/>
      <c r="M18" s="24"/>
    </row>
    <row r="19" spans="5:13" x14ac:dyDescent="0.3">
      <c r="E19" s="24" t="s">
        <v>248</v>
      </c>
      <c r="F19" s="24" t="s">
        <v>10</v>
      </c>
      <c r="G19" s="146">
        <v>45078</v>
      </c>
      <c r="H19" s="31">
        <v>18752000</v>
      </c>
      <c r="I19" s="26">
        <v>5950000</v>
      </c>
      <c r="J19" t="s">
        <v>249</v>
      </c>
      <c r="K19" s="26" t="s">
        <v>48</v>
      </c>
      <c r="L19" s="29" t="s">
        <v>100</v>
      </c>
      <c r="M19" s="180" t="s">
        <v>4</v>
      </c>
    </row>
    <row r="20" spans="5:13" x14ac:dyDescent="0.3">
      <c r="E20" s="24" t="s">
        <v>32</v>
      </c>
      <c r="G20" s="146">
        <v>45078</v>
      </c>
      <c r="H20" s="31">
        <v>101683500</v>
      </c>
      <c r="I20" s="26">
        <v>2809800</v>
      </c>
      <c r="J20" s="26" t="s">
        <v>92</v>
      </c>
      <c r="K20" s="26"/>
      <c r="L20" s="26">
        <v>647600</v>
      </c>
      <c r="M20" s="4">
        <f>+I20-L20</f>
        <v>2162200</v>
      </c>
    </row>
    <row r="21" spans="5:13" x14ac:dyDescent="0.3">
      <c r="E21" s="24" t="s">
        <v>32</v>
      </c>
      <c r="G21" s="146">
        <v>45078</v>
      </c>
      <c r="H21" s="31">
        <v>173555000</v>
      </c>
      <c r="I21" s="26">
        <v>2706400</v>
      </c>
      <c r="J21" s="26" t="s">
        <v>92</v>
      </c>
      <c r="K21" s="26"/>
      <c r="L21" s="26">
        <v>1030600</v>
      </c>
      <c r="M21" s="4">
        <f t="shared" ref="M21:M24" si="0">+I21-L21</f>
        <v>1675800</v>
      </c>
    </row>
    <row r="22" spans="5:13" x14ac:dyDescent="0.3">
      <c r="E22" s="24" t="s">
        <v>242</v>
      </c>
      <c r="G22" s="146"/>
      <c r="H22" s="31">
        <v>100000000</v>
      </c>
      <c r="I22" s="26">
        <v>8948450</v>
      </c>
      <c r="J22" s="26" t="s">
        <v>92</v>
      </c>
      <c r="K22" s="26"/>
      <c r="L22" s="26">
        <v>1681900</v>
      </c>
      <c r="M22" s="4">
        <f t="shared" si="0"/>
        <v>7266550</v>
      </c>
    </row>
    <row r="23" spans="5:13" x14ac:dyDescent="0.3">
      <c r="E23" s="24" t="s">
        <v>196</v>
      </c>
      <c r="H23" s="31">
        <v>12000000</v>
      </c>
      <c r="I23" s="26">
        <v>11625398.100000001</v>
      </c>
      <c r="J23" s="26" t="s">
        <v>92</v>
      </c>
      <c r="K23" s="26"/>
      <c r="L23" s="26">
        <v>2192352.2000000002</v>
      </c>
      <c r="M23" s="4">
        <f t="shared" si="0"/>
        <v>9433045.9000000022</v>
      </c>
    </row>
    <row r="24" spans="5:13" x14ac:dyDescent="0.3">
      <c r="H24" s="28"/>
      <c r="I24" s="26">
        <v>2848909</v>
      </c>
      <c r="J24" s="26" t="s">
        <v>92</v>
      </c>
      <c r="K24" s="26"/>
      <c r="L24" s="26">
        <v>1099218</v>
      </c>
      <c r="M24" s="4">
        <f t="shared" si="0"/>
        <v>1749691</v>
      </c>
    </row>
    <row r="25" spans="5:13" ht="15" thickBot="1" x14ac:dyDescent="0.35">
      <c r="H25" s="28"/>
      <c r="I25" s="26">
        <v>269800000</v>
      </c>
      <c r="J25" s="24" t="s">
        <v>120</v>
      </c>
      <c r="K25" s="24"/>
      <c r="L25" s="24"/>
      <c r="M25" s="5">
        <f>SUM(M20:M24)</f>
        <v>22287286.900000002</v>
      </c>
    </row>
    <row r="26" spans="5:13" ht="15" thickTop="1" x14ac:dyDescent="0.3">
      <c r="H26" s="28"/>
      <c r="I26" s="26">
        <v>31266666.666666668</v>
      </c>
      <c r="J26" s="24" t="s">
        <v>193</v>
      </c>
      <c r="K26" s="24"/>
      <c r="L26" s="24"/>
      <c r="M26" s="24"/>
    </row>
    <row r="27" spans="5:13" x14ac:dyDescent="0.3">
      <c r="H27" s="28"/>
      <c r="I27" s="152">
        <v>200000000</v>
      </c>
      <c r="J27" s="181" t="s">
        <v>203</v>
      </c>
      <c r="K27" s="181"/>
      <c r="L27" s="24"/>
      <c r="M27" s="24"/>
    </row>
    <row r="28" spans="5:13" x14ac:dyDescent="0.3">
      <c r="H28" s="28"/>
      <c r="I28" s="24"/>
      <c r="J28" s="24"/>
      <c r="K28" s="24"/>
      <c r="L28" s="24"/>
      <c r="M28" s="24"/>
    </row>
    <row r="29" spans="5:13" ht="15" thickBot="1" x14ac:dyDescent="0.35">
      <c r="H29" s="148">
        <v>1002050636.9</v>
      </c>
      <c r="I29" s="148">
        <v>741567423.76666665</v>
      </c>
      <c r="J29" s="16"/>
      <c r="K29" s="16"/>
      <c r="L29" s="16"/>
      <c r="M29" s="16"/>
    </row>
    <row r="30" spans="5:13" ht="15" thickBot="1" x14ac:dyDescent="0.35"/>
    <row r="31" spans="5:13" ht="15" thickBot="1" x14ac:dyDescent="0.35">
      <c r="F31" s="24" t="s">
        <v>262</v>
      </c>
      <c r="H31" s="177">
        <v>260483213.13333333</v>
      </c>
    </row>
    <row r="32" spans="5:13" ht="15" thickTop="1" x14ac:dyDescent="0.3"/>
    <row r="35" spans="2:5" x14ac:dyDescent="0.3">
      <c r="B35" t="s">
        <v>250</v>
      </c>
      <c r="C35" s="4">
        <f>SUM(H4:H21)</f>
        <v>734050636.89999998</v>
      </c>
    </row>
    <row r="36" spans="2:5" x14ac:dyDescent="0.3">
      <c r="B36" t="s">
        <v>251</v>
      </c>
      <c r="C36" s="4">
        <f>-1*(SUM(I4:I19)-I10)</f>
        <v>-182585300</v>
      </c>
    </row>
    <row r="37" spans="2:5" x14ac:dyDescent="0.3">
      <c r="B37" t="s">
        <v>252</v>
      </c>
      <c r="C37" s="4">
        <f>-I25</f>
        <v>-269800000</v>
      </c>
    </row>
    <row r="38" spans="2:5" x14ac:dyDescent="0.3">
      <c r="B38" t="s">
        <v>255</v>
      </c>
      <c r="C38" s="4">
        <f>+H23-L20-L21-L22-L23-L24</f>
        <v>5348329.8</v>
      </c>
    </row>
    <row r="39" spans="2:5" x14ac:dyDescent="0.3">
      <c r="B39" t="s">
        <v>264</v>
      </c>
      <c r="C39" s="4">
        <f>-M25</f>
        <v>-22287286.900000002</v>
      </c>
    </row>
    <row r="41" spans="2:5" ht="15" thickBot="1" x14ac:dyDescent="0.35">
      <c r="B41" t="s">
        <v>253</v>
      </c>
      <c r="C41" s="5">
        <f>SUM(C35:C39)</f>
        <v>264726379.79999998</v>
      </c>
      <c r="E41" s="24" t="s">
        <v>266</v>
      </c>
    </row>
    <row r="42" spans="2:5" ht="15" thickTop="1" x14ac:dyDescent="0.3"/>
    <row r="43" spans="2:5" x14ac:dyDescent="0.3">
      <c r="B43" t="s">
        <v>254</v>
      </c>
      <c r="C43" s="4">
        <f>-I10</f>
        <v>-28976500</v>
      </c>
    </row>
    <row r="45" spans="2:5" ht="15" thickBot="1" x14ac:dyDescent="0.35">
      <c r="B45" t="s">
        <v>256</v>
      </c>
      <c r="C45" s="5">
        <f>SUM(C43:C44)</f>
        <v>-28976500</v>
      </c>
    </row>
    <row r="46" spans="2:5" ht="15" thickTop="1" x14ac:dyDescent="0.3"/>
    <row r="47" spans="2:5" x14ac:dyDescent="0.3">
      <c r="B47" t="s">
        <v>130</v>
      </c>
      <c r="C47" s="4">
        <f>+H22</f>
        <v>100000000</v>
      </c>
    </row>
    <row r="48" spans="2:5" x14ac:dyDescent="0.3">
      <c r="B48" t="s">
        <v>257</v>
      </c>
      <c r="C48" s="4">
        <f>-I26</f>
        <v>-31266666.666666668</v>
      </c>
    </row>
    <row r="50" spans="2:3" ht="15" thickBot="1" x14ac:dyDescent="0.35">
      <c r="B50" t="s">
        <v>258</v>
      </c>
      <c r="C50" s="5">
        <f>SUM(C47:C49)</f>
        <v>68733333.333333328</v>
      </c>
    </row>
    <row r="51" spans="2:3" ht="15" thickTop="1" x14ac:dyDescent="0.3"/>
    <row r="52" spans="2:3" x14ac:dyDescent="0.3">
      <c r="B52" t="s">
        <v>259</v>
      </c>
      <c r="C52" s="4">
        <f>+C41+C45+C50</f>
        <v>304483213.13333333</v>
      </c>
    </row>
    <row r="53" spans="2:3" x14ac:dyDescent="0.3">
      <c r="B53" t="s">
        <v>263</v>
      </c>
      <c r="C53" s="4">
        <f>+C9-I27</f>
        <v>23450000</v>
      </c>
    </row>
    <row r="54" spans="2:3" x14ac:dyDescent="0.3">
      <c r="B54" t="s">
        <v>260</v>
      </c>
      <c r="C54" s="4">
        <f>+C3</f>
        <v>156000000</v>
      </c>
    </row>
    <row r="56" spans="2:3" ht="15" thickBot="1" x14ac:dyDescent="0.35">
      <c r="B56" t="s">
        <v>261</v>
      </c>
      <c r="C56" s="5">
        <f>+C52+C54+C53</f>
        <v>483933213.13333333</v>
      </c>
    </row>
    <row r="57" spans="2:3" ht="15" thickTop="1" x14ac:dyDescent="0.3">
      <c r="C57" s="4">
        <f>+C11</f>
        <v>483933213.13333333</v>
      </c>
    </row>
    <row r="58" spans="2:3" x14ac:dyDescent="0.3">
      <c r="C58" s="4">
        <f>+C56-C57</f>
        <v>0</v>
      </c>
    </row>
  </sheetData>
  <mergeCells count="1">
    <mergeCell ref="E2:M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6"/>
  <sheetViews>
    <sheetView showGridLines="0" tabSelected="1" topLeftCell="G1" workbookViewId="0">
      <selection activeCell="I2" sqref="I2"/>
    </sheetView>
  </sheetViews>
  <sheetFormatPr baseColWidth="10" defaultRowHeight="14.4" x14ac:dyDescent="0.3"/>
  <cols>
    <col min="1" max="1" width="0" hidden="1" customWidth="1"/>
    <col min="2" max="2" width="3" hidden="1" customWidth="1"/>
    <col min="3" max="3" width="82.77734375" hidden="1" customWidth="1"/>
    <col min="4" max="5" width="12.77734375" hidden="1" customWidth="1"/>
    <col min="6" max="6" width="0" hidden="1" customWidth="1"/>
    <col min="8" max="8" width="3" style="1" bestFit="1" customWidth="1"/>
    <col min="9" max="9" width="85.88671875" customWidth="1"/>
    <col min="10" max="10" width="25.21875" customWidth="1"/>
    <col min="11" max="11" width="9.109375" style="198" customWidth="1"/>
    <col min="12" max="12" width="5.77734375" style="198" customWidth="1"/>
    <col min="13" max="13" width="1.6640625" customWidth="1"/>
  </cols>
  <sheetData>
    <row r="2" spans="2:12" ht="21" x14ac:dyDescent="0.4">
      <c r="I2" s="250" t="s">
        <v>349</v>
      </c>
    </row>
    <row r="7" spans="2:12" ht="15" thickBot="1" x14ac:dyDescent="0.35"/>
    <row r="8" spans="2:12" ht="29.4" thickBot="1" x14ac:dyDescent="0.35">
      <c r="B8" s="199" t="s">
        <v>287</v>
      </c>
      <c r="C8" s="200" t="s">
        <v>288</v>
      </c>
      <c r="D8" s="201" t="s">
        <v>289</v>
      </c>
      <c r="E8" s="202" t="s">
        <v>290</v>
      </c>
      <c r="I8" s="203" t="s">
        <v>291</v>
      </c>
      <c r="J8" s="201" t="s">
        <v>289</v>
      </c>
    </row>
    <row r="9" spans="2:12" ht="15" thickBot="1" x14ac:dyDescent="0.35">
      <c r="B9" s="204"/>
      <c r="C9" s="205"/>
      <c r="D9" s="206" t="s">
        <v>292</v>
      </c>
      <c r="E9" s="207" t="s">
        <v>293</v>
      </c>
      <c r="H9" s="208" t="s">
        <v>287</v>
      </c>
      <c r="I9" s="209"/>
      <c r="J9" s="206" t="s">
        <v>292</v>
      </c>
    </row>
    <row r="10" spans="2:12" ht="15" thickBot="1" x14ac:dyDescent="0.35">
      <c r="B10" s="210">
        <v>1</v>
      </c>
      <c r="C10" s="211" t="s">
        <v>294</v>
      </c>
      <c r="D10" s="98"/>
      <c r="E10" s="100"/>
      <c r="H10" s="212">
        <v>1</v>
      </c>
      <c r="I10" s="213" t="s">
        <v>294</v>
      </c>
    </row>
    <row r="11" spans="2:12" ht="15" thickBot="1" x14ac:dyDescent="0.35">
      <c r="B11" s="214">
        <v>2</v>
      </c>
      <c r="C11" s="215" t="s">
        <v>295</v>
      </c>
      <c r="E11" s="92"/>
      <c r="H11" s="216">
        <v>2</v>
      </c>
      <c r="I11" s="217" t="s">
        <v>295</v>
      </c>
      <c r="J11" s="218"/>
      <c r="K11" s="219" t="s">
        <v>296</v>
      </c>
      <c r="L11" s="220" t="str">
        <f>+K11</f>
        <v>´+/-</v>
      </c>
    </row>
    <row r="12" spans="2:12" ht="15" thickBot="1" x14ac:dyDescent="0.35">
      <c r="B12" s="214">
        <v>3</v>
      </c>
      <c r="C12" s="215" t="s">
        <v>297</v>
      </c>
      <c r="E12" s="92"/>
      <c r="H12" s="216">
        <v>3</v>
      </c>
      <c r="I12" s="221" t="s">
        <v>297</v>
      </c>
      <c r="J12" s="84"/>
      <c r="K12" s="222"/>
      <c r="L12" s="223"/>
    </row>
    <row r="13" spans="2:12" x14ac:dyDescent="0.3">
      <c r="B13" s="214">
        <v>4</v>
      </c>
      <c r="C13" s="224" t="s">
        <v>298</v>
      </c>
      <c r="E13" s="92"/>
      <c r="H13" s="216">
        <v>4</v>
      </c>
      <c r="I13" s="225" t="s">
        <v>298</v>
      </c>
      <c r="J13" s="226"/>
      <c r="K13" s="227" t="s">
        <v>299</v>
      </c>
      <c r="L13" s="223"/>
    </row>
    <row r="14" spans="2:12" x14ac:dyDescent="0.3">
      <c r="B14" s="214">
        <v>5</v>
      </c>
      <c r="C14" s="224" t="s">
        <v>300</v>
      </c>
      <c r="E14" s="92"/>
      <c r="H14" s="216">
        <v>5</v>
      </c>
      <c r="I14" s="225" t="s">
        <v>300</v>
      </c>
      <c r="J14" s="228"/>
      <c r="K14" s="229" t="s">
        <v>299</v>
      </c>
      <c r="L14" s="223"/>
    </row>
    <row r="15" spans="2:12" x14ac:dyDescent="0.3">
      <c r="B15" s="214">
        <v>6</v>
      </c>
      <c r="C15" s="224" t="s">
        <v>301</v>
      </c>
      <c r="E15" s="92"/>
      <c r="H15" s="216">
        <v>6</v>
      </c>
      <c r="I15" s="225" t="s">
        <v>301</v>
      </c>
      <c r="J15" s="228"/>
      <c r="K15" s="230" t="s">
        <v>296</v>
      </c>
      <c r="L15" s="223"/>
    </row>
    <row r="16" spans="2:12" x14ac:dyDescent="0.3">
      <c r="B16" s="214">
        <v>7</v>
      </c>
      <c r="C16" s="224" t="s">
        <v>302</v>
      </c>
      <c r="E16" s="92"/>
      <c r="H16" s="216">
        <v>7</v>
      </c>
      <c r="I16" s="225" t="s">
        <v>302</v>
      </c>
      <c r="J16" s="228"/>
      <c r="K16" s="230" t="s">
        <v>296</v>
      </c>
      <c r="L16" s="223"/>
    </row>
    <row r="17" spans="2:13" x14ac:dyDescent="0.3">
      <c r="B17" s="214">
        <v>8</v>
      </c>
      <c r="C17" s="224" t="s">
        <v>303</v>
      </c>
      <c r="E17" s="92"/>
      <c r="H17" s="216">
        <v>8</v>
      </c>
      <c r="I17" s="225" t="s">
        <v>303</v>
      </c>
      <c r="J17" s="228"/>
      <c r="K17" s="230" t="s">
        <v>296</v>
      </c>
      <c r="L17" s="223"/>
    </row>
    <row r="18" spans="2:13" x14ac:dyDescent="0.3">
      <c r="B18" s="214">
        <v>9</v>
      </c>
      <c r="C18" s="224" t="s">
        <v>304</v>
      </c>
      <c r="E18" s="92"/>
      <c r="H18" s="216">
        <v>9</v>
      </c>
      <c r="I18" s="225" t="s">
        <v>304</v>
      </c>
      <c r="J18" s="228"/>
      <c r="K18" s="230" t="s">
        <v>296</v>
      </c>
      <c r="L18" s="223"/>
    </row>
    <row r="19" spans="2:13" x14ac:dyDescent="0.3">
      <c r="B19" s="214">
        <v>10</v>
      </c>
      <c r="C19" s="224" t="s">
        <v>305</v>
      </c>
      <c r="E19" s="92"/>
      <c r="H19" s="216">
        <v>10</v>
      </c>
      <c r="I19" s="225" t="s">
        <v>305</v>
      </c>
      <c r="J19" s="228"/>
      <c r="K19" s="230" t="s">
        <v>296</v>
      </c>
      <c r="L19" s="223"/>
    </row>
    <row r="20" spans="2:13" x14ac:dyDescent="0.3">
      <c r="B20" s="214">
        <v>11</v>
      </c>
      <c r="C20" s="224" t="s">
        <v>306</v>
      </c>
      <c r="E20" s="92"/>
      <c r="H20" s="216">
        <v>11</v>
      </c>
      <c r="I20" s="225" t="s">
        <v>306</v>
      </c>
      <c r="J20" s="228"/>
      <c r="K20" s="229" t="s">
        <v>299</v>
      </c>
      <c r="L20" s="223"/>
    </row>
    <row r="21" spans="2:13" x14ac:dyDescent="0.3">
      <c r="B21" s="214">
        <v>12</v>
      </c>
      <c r="C21" s="224" t="s">
        <v>307</v>
      </c>
      <c r="E21" s="92"/>
      <c r="H21" s="216">
        <v>12</v>
      </c>
      <c r="I21" s="225" t="s">
        <v>307</v>
      </c>
      <c r="J21" s="228"/>
      <c r="K21" s="229" t="s">
        <v>299</v>
      </c>
      <c r="L21" s="223"/>
    </row>
    <row r="22" spans="2:13" x14ac:dyDescent="0.3">
      <c r="B22" s="214">
        <v>13</v>
      </c>
      <c r="C22" s="224" t="s">
        <v>308</v>
      </c>
      <c r="E22" s="92"/>
      <c r="H22" s="216">
        <v>13</v>
      </c>
      <c r="I22" s="225" t="s">
        <v>308</v>
      </c>
      <c r="J22" s="228"/>
      <c r="K22" s="229" t="s">
        <v>299</v>
      </c>
      <c r="L22" s="223"/>
    </row>
    <row r="23" spans="2:13" x14ac:dyDescent="0.3">
      <c r="B23" s="214">
        <v>14</v>
      </c>
      <c r="C23" s="224" t="s">
        <v>309</v>
      </c>
      <c r="E23" s="92"/>
      <c r="H23" s="216">
        <v>14</v>
      </c>
      <c r="I23" s="225" t="s">
        <v>309</v>
      </c>
      <c r="J23" s="228"/>
      <c r="K23" s="230" t="s">
        <v>296</v>
      </c>
      <c r="L23" s="223"/>
    </row>
    <row r="24" spans="2:13" x14ac:dyDescent="0.3">
      <c r="B24" s="214">
        <v>17</v>
      </c>
      <c r="C24" s="224" t="s">
        <v>310</v>
      </c>
      <c r="E24" s="92"/>
      <c r="H24" s="216">
        <v>17</v>
      </c>
      <c r="I24" s="225" t="s">
        <v>310</v>
      </c>
      <c r="J24" s="228"/>
      <c r="K24" s="230" t="s">
        <v>296</v>
      </c>
      <c r="L24" s="223"/>
    </row>
    <row r="25" spans="2:13" x14ac:dyDescent="0.3">
      <c r="B25" s="214">
        <v>19</v>
      </c>
      <c r="C25" s="224" t="s">
        <v>311</v>
      </c>
      <c r="E25" s="92"/>
      <c r="H25" s="216">
        <v>19</v>
      </c>
      <c r="I25" s="225" t="s">
        <v>311</v>
      </c>
      <c r="J25" s="228"/>
      <c r="K25" s="230" t="s">
        <v>296</v>
      </c>
      <c r="L25" s="223"/>
    </row>
    <row r="26" spans="2:13" x14ac:dyDescent="0.3">
      <c r="B26" s="214">
        <v>22</v>
      </c>
      <c r="C26" s="224" t="s">
        <v>312</v>
      </c>
      <c r="E26" s="92"/>
      <c r="H26" s="216">
        <v>22</v>
      </c>
      <c r="I26" s="225" t="s">
        <v>312</v>
      </c>
      <c r="J26" s="228"/>
      <c r="K26" s="230" t="s">
        <v>296</v>
      </c>
      <c r="L26" s="223"/>
    </row>
    <row r="27" spans="2:13" ht="15" thickBot="1" x14ac:dyDescent="0.35">
      <c r="B27" s="214">
        <v>23</v>
      </c>
      <c r="C27" s="224" t="s">
        <v>313</v>
      </c>
      <c r="E27" s="92"/>
      <c r="H27" s="216">
        <v>23</v>
      </c>
      <c r="I27" s="225" t="s">
        <v>313</v>
      </c>
      <c r="J27" s="231"/>
      <c r="K27" s="232" t="s">
        <v>314</v>
      </c>
      <c r="L27" s="223" t="s">
        <v>299</v>
      </c>
    </row>
    <row r="28" spans="2:13" ht="15" thickBot="1" x14ac:dyDescent="0.35">
      <c r="B28" s="214">
        <v>24</v>
      </c>
      <c r="C28" s="215" t="s">
        <v>315</v>
      </c>
      <c r="E28" s="92"/>
      <c r="H28" s="216">
        <v>24</v>
      </c>
      <c r="I28" s="221" t="s">
        <v>315</v>
      </c>
      <c r="J28" s="233"/>
      <c r="K28" s="234" t="s">
        <v>314</v>
      </c>
      <c r="L28" s="235"/>
      <c r="M28" s="100"/>
    </row>
    <row r="29" spans="2:13" ht="15" thickTop="1" x14ac:dyDescent="0.3">
      <c r="B29" s="214">
        <v>25</v>
      </c>
      <c r="C29" s="215" t="s">
        <v>316</v>
      </c>
      <c r="E29" s="92"/>
      <c r="H29" s="216">
        <v>25</v>
      </c>
      <c r="I29" s="221" t="s">
        <v>316</v>
      </c>
      <c r="J29" s="236"/>
      <c r="K29" s="237" t="s">
        <v>317</v>
      </c>
      <c r="L29" s="222"/>
      <c r="M29" s="92"/>
    </row>
    <row r="30" spans="2:13" x14ac:dyDescent="0.3">
      <c r="B30" s="214">
        <v>26</v>
      </c>
      <c r="C30" s="215" t="s">
        <v>318</v>
      </c>
      <c r="E30" s="92"/>
      <c r="H30" s="216">
        <v>26</v>
      </c>
      <c r="I30" s="221" t="s">
        <v>318</v>
      </c>
      <c r="J30" s="228"/>
      <c r="K30" s="238" t="s">
        <v>299</v>
      </c>
      <c r="L30" s="222"/>
      <c r="M30" s="92"/>
    </row>
    <row r="31" spans="2:13" x14ac:dyDescent="0.3">
      <c r="B31" s="214">
        <v>27</v>
      </c>
      <c r="C31" s="215" t="s">
        <v>319</v>
      </c>
      <c r="E31" s="92"/>
      <c r="H31" s="216">
        <v>27</v>
      </c>
      <c r="I31" s="221" t="s">
        <v>319</v>
      </c>
      <c r="J31" s="228"/>
      <c r="K31" s="238" t="s">
        <v>317</v>
      </c>
      <c r="L31" s="222"/>
      <c r="M31" s="92"/>
    </row>
    <row r="32" spans="2:13" x14ac:dyDescent="0.3">
      <c r="B32" s="214">
        <v>28</v>
      </c>
      <c r="C32" s="215" t="s">
        <v>320</v>
      </c>
      <c r="E32" s="92"/>
      <c r="H32" s="216">
        <v>28</v>
      </c>
      <c r="I32" s="221" t="s">
        <v>320</v>
      </c>
      <c r="J32" s="228"/>
      <c r="K32" s="238" t="s">
        <v>299</v>
      </c>
      <c r="L32" s="222"/>
      <c r="M32" s="92"/>
    </row>
    <row r="33" spans="2:13" x14ac:dyDescent="0.3">
      <c r="B33" s="214">
        <v>29</v>
      </c>
      <c r="C33" s="215" t="s">
        <v>321</v>
      </c>
      <c r="E33" s="92"/>
      <c r="H33" s="216">
        <v>29</v>
      </c>
      <c r="I33" s="221" t="s">
        <v>321</v>
      </c>
      <c r="J33" s="228"/>
      <c r="K33" s="238" t="s">
        <v>317</v>
      </c>
      <c r="L33" s="222"/>
      <c r="M33" s="92"/>
    </row>
    <row r="34" spans="2:13" x14ac:dyDescent="0.3">
      <c r="B34" s="214">
        <v>30</v>
      </c>
      <c r="C34" s="215" t="s">
        <v>322</v>
      </c>
      <c r="E34" s="92"/>
      <c r="H34" s="216">
        <v>30</v>
      </c>
      <c r="I34" s="221" t="s">
        <v>322</v>
      </c>
      <c r="J34" s="228"/>
      <c r="K34" s="230" t="s">
        <v>296</v>
      </c>
      <c r="L34" s="222"/>
      <c r="M34" s="92"/>
    </row>
    <row r="35" spans="2:13" ht="15" thickBot="1" x14ac:dyDescent="0.35">
      <c r="B35" s="239">
        <v>31</v>
      </c>
      <c r="C35" s="240" t="s">
        <v>323</v>
      </c>
      <c r="D35" s="16"/>
      <c r="E35" s="94"/>
      <c r="H35" s="241">
        <v>31</v>
      </c>
      <c r="I35" s="242" t="s">
        <v>323</v>
      </c>
      <c r="J35" s="243"/>
      <c r="K35" s="244" t="s">
        <v>314</v>
      </c>
      <c r="L35" s="245"/>
      <c r="M35" s="94"/>
    </row>
    <row r="36" spans="2:13" x14ac:dyDescent="0.3">
      <c r="B36" s="214">
        <v>32</v>
      </c>
      <c r="C36" s="246" t="s">
        <v>324</v>
      </c>
      <c r="E36" s="92"/>
    </row>
    <row r="37" spans="2:13" x14ac:dyDescent="0.3">
      <c r="B37" s="214">
        <v>33</v>
      </c>
      <c r="C37" s="215" t="s">
        <v>325</v>
      </c>
      <c r="E37" s="92"/>
    </row>
    <row r="38" spans="2:13" x14ac:dyDescent="0.3">
      <c r="B38" s="214">
        <v>34</v>
      </c>
      <c r="C38" s="215" t="s">
        <v>326</v>
      </c>
      <c r="E38" s="92"/>
    </row>
    <row r="39" spans="2:13" x14ac:dyDescent="0.3">
      <c r="B39" s="214">
        <v>58</v>
      </c>
      <c r="C39" s="215" t="s">
        <v>322</v>
      </c>
      <c r="E39" s="92"/>
    </row>
    <row r="40" spans="2:13" x14ac:dyDescent="0.3">
      <c r="B40" s="214">
        <v>59</v>
      </c>
      <c r="C40" s="215" t="s">
        <v>327</v>
      </c>
      <c r="E40" s="92"/>
    </row>
    <row r="41" spans="2:13" x14ac:dyDescent="0.3">
      <c r="B41" s="214">
        <v>60</v>
      </c>
      <c r="C41" s="247" t="s">
        <v>328</v>
      </c>
      <c r="E41" s="92"/>
    </row>
    <row r="42" spans="2:13" x14ac:dyDescent="0.3">
      <c r="B42" s="214">
        <v>61</v>
      </c>
      <c r="C42" s="215" t="s">
        <v>329</v>
      </c>
      <c r="E42" s="92"/>
    </row>
    <row r="43" spans="2:13" x14ac:dyDescent="0.3">
      <c r="B43" s="214">
        <v>62</v>
      </c>
      <c r="C43" s="215" t="s">
        <v>330</v>
      </c>
      <c r="E43" s="92"/>
    </row>
    <row r="44" spans="2:13" x14ac:dyDescent="0.3">
      <c r="B44" s="214">
        <v>63</v>
      </c>
      <c r="C44" s="215" t="s">
        <v>331</v>
      </c>
      <c r="E44" s="92"/>
    </row>
    <row r="45" spans="2:13" x14ac:dyDescent="0.3">
      <c r="B45" s="214">
        <v>64</v>
      </c>
      <c r="C45" s="215" t="s">
        <v>332</v>
      </c>
      <c r="E45" s="92"/>
    </row>
    <row r="46" spans="2:13" x14ac:dyDescent="0.3">
      <c r="B46" s="214">
        <v>65</v>
      </c>
      <c r="C46" s="215" t="s">
        <v>333</v>
      </c>
      <c r="E46" s="92"/>
    </row>
    <row r="47" spans="2:13" x14ac:dyDescent="0.3">
      <c r="B47" s="214">
        <v>66</v>
      </c>
      <c r="C47" s="215" t="s">
        <v>334</v>
      </c>
      <c r="E47" s="92"/>
    </row>
    <row r="48" spans="2:13" x14ac:dyDescent="0.3">
      <c r="B48" s="214">
        <v>67</v>
      </c>
      <c r="C48" s="215" t="s">
        <v>335</v>
      </c>
      <c r="E48" s="92"/>
    </row>
    <row r="49" spans="2:5" x14ac:dyDescent="0.3">
      <c r="B49" s="214">
        <v>68</v>
      </c>
      <c r="C49" s="224" t="s">
        <v>336</v>
      </c>
      <c r="E49" s="92"/>
    </row>
    <row r="50" spans="2:5" x14ac:dyDescent="0.3">
      <c r="B50" s="214">
        <v>69</v>
      </c>
      <c r="C50" s="224" t="s">
        <v>337</v>
      </c>
      <c r="E50" s="92"/>
    </row>
    <row r="51" spans="2:5" x14ac:dyDescent="0.3">
      <c r="B51" s="214">
        <v>70</v>
      </c>
      <c r="C51" s="215" t="s">
        <v>338</v>
      </c>
      <c r="E51" s="92"/>
    </row>
    <row r="52" spans="2:5" x14ac:dyDescent="0.3">
      <c r="B52" s="214">
        <v>71</v>
      </c>
      <c r="C52" s="215" t="s">
        <v>339</v>
      </c>
      <c r="E52" s="92"/>
    </row>
    <row r="53" spans="2:5" x14ac:dyDescent="0.3">
      <c r="B53" s="214">
        <v>72</v>
      </c>
      <c r="C53" s="215" t="s">
        <v>340</v>
      </c>
      <c r="E53" s="92"/>
    </row>
    <row r="54" spans="2:5" x14ac:dyDescent="0.3">
      <c r="B54" s="214">
        <v>73</v>
      </c>
      <c r="C54" s="215" t="s">
        <v>341</v>
      </c>
      <c r="E54" s="92"/>
    </row>
    <row r="55" spans="2:5" x14ac:dyDescent="0.3">
      <c r="B55" s="214">
        <v>74</v>
      </c>
      <c r="C55" s="215" t="s">
        <v>342</v>
      </c>
      <c r="E55" s="92"/>
    </row>
    <row r="56" spans="2:5" x14ac:dyDescent="0.3">
      <c r="B56" s="214">
        <v>75</v>
      </c>
      <c r="C56" s="215" t="s">
        <v>316</v>
      </c>
      <c r="E56" s="92"/>
    </row>
    <row r="57" spans="2:5" x14ac:dyDescent="0.3">
      <c r="B57" s="214">
        <v>76</v>
      </c>
      <c r="C57" s="215" t="s">
        <v>319</v>
      </c>
      <c r="E57" s="92"/>
    </row>
    <row r="58" spans="2:5" x14ac:dyDescent="0.3">
      <c r="B58" s="214">
        <v>77</v>
      </c>
      <c r="C58" s="215" t="s">
        <v>321</v>
      </c>
      <c r="E58" s="92"/>
    </row>
    <row r="59" spans="2:5" x14ac:dyDescent="0.3">
      <c r="B59" s="214">
        <v>78</v>
      </c>
      <c r="C59" s="215" t="s">
        <v>322</v>
      </c>
      <c r="E59" s="92"/>
    </row>
    <row r="60" spans="2:5" x14ac:dyDescent="0.3">
      <c r="B60" s="214">
        <v>79</v>
      </c>
      <c r="C60" s="215" t="s">
        <v>343</v>
      </c>
      <c r="E60" s="92"/>
    </row>
    <row r="61" spans="2:5" x14ac:dyDescent="0.3">
      <c r="B61" s="214">
        <v>80</v>
      </c>
      <c r="C61" s="248" t="s">
        <v>344</v>
      </c>
      <c r="E61" s="92"/>
    </row>
    <row r="62" spans="2:5" x14ac:dyDescent="0.3">
      <c r="B62" s="214">
        <v>81</v>
      </c>
      <c r="C62" s="248" t="s">
        <v>345</v>
      </c>
      <c r="E62" s="92"/>
    </row>
    <row r="63" spans="2:5" x14ac:dyDescent="0.3">
      <c r="B63" s="214">
        <v>82</v>
      </c>
      <c r="C63" s="215" t="s">
        <v>345</v>
      </c>
      <c r="E63" s="92"/>
    </row>
    <row r="64" spans="2:5" x14ac:dyDescent="0.3">
      <c r="B64" s="214">
        <v>83</v>
      </c>
      <c r="C64" s="248" t="s">
        <v>346</v>
      </c>
      <c r="E64" s="92"/>
    </row>
    <row r="65" spans="2:5" x14ac:dyDescent="0.3">
      <c r="B65" s="214">
        <v>84</v>
      </c>
      <c r="C65" s="248" t="s">
        <v>347</v>
      </c>
      <c r="E65" s="92"/>
    </row>
    <row r="66" spans="2:5" ht="15" thickBot="1" x14ac:dyDescent="0.35">
      <c r="B66" s="239">
        <v>85</v>
      </c>
      <c r="C66" s="249" t="s">
        <v>348</v>
      </c>
      <c r="D66" s="16"/>
      <c r="E66" s="94"/>
    </row>
  </sheetData>
  <mergeCells count="3">
    <mergeCell ref="B8:B9"/>
    <mergeCell ref="C8:C9"/>
    <mergeCell ref="I8:I9"/>
  </mergeCells>
  <pageMargins left="0.70866141732283472" right="0.70866141732283472" top="0.74803149606299213" bottom="0.74803149606299213" header="0.31496062992125984" footer="0.31496062992125984"/>
  <pageSetup scale="6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workbookViewId="0">
      <selection activeCell="C12" sqref="C12"/>
    </sheetView>
  </sheetViews>
  <sheetFormatPr baseColWidth="10" defaultRowHeight="14.4" x14ac:dyDescent="0.3"/>
  <cols>
    <col min="2" max="2" width="5.88671875" customWidth="1"/>
    <col min="3" max="3" width="32" customWidth="1"/>
    <col min="4" max="4" width="15.77734375" style="56" bestFit="1" customWidth="1"/>
    <col min="5" max="5" width="12.6640625" customWidth="1"/>
    <col min="6" max="6" width="16.21875" bestFit="1" customWidth="1"/>
    <col min="7" max="7" width="12.21875" bestFit="1" customWidth="1"/>
    <col min="8" max="8" width="13.77734375" bestFit="1" customWidth="1"/>
    <col min="9" max="9" width="13.6640625" customWidth="1"/>
  </cols>
  <sheetData>
    <row r="3" spans="2:9" x14ac:dyDescent="0.3">
      <c r="B3" t="str">
        <f>+ER!B32</f>
        <v>Resultado Final</v>
      </c>
    </row>
    <row r="5" spans="2:9" x14ac:dyDescent="0.3">
      <c r="B5" t="s">
        <v>265</v>
      </c>
    </row>
    <row r="6" spans="2:9" x14ac:dyDescent="0.3">
      <c r="C6" t="str">
        <f>+ER!D19</f>
        <v>Deterioro CxC</v>
      </c>
    </row>
    <row r="7" spans="2:9" x14ac:dyDescent="0.3">
      <c r="C7" t="str">
        <f>+ER!D21</f>
        <v>Depreciación</v>
      </c>
    </row>
    <row r="8" spans="2:9" x14ac:dyDescent="0.3">
      <c r="C8" t="str">
        <f>+ER!D26</f>
        <v>Dif de Cambio (No Realizada)</v>
      </c>
    </row>
    <row r="9" spans="2:9" x14ac:dyDescent="0.3">
      <c r="C9" t="str">
        <f>+ER!D30</f>
        <v>Impto Renta</v>
      </c>
    </row>
    <row r="10" spans="2:9" x14ac:dyDescent="0.3">
      <c r="C10" t="str">
        <f>+ER!B25</f>
        <v>Gastos Financieros</v>
      </c>
    </row>
    <row r="12" spans="2:9" ht="15" customHeight="1" x14ac:dyDescent="0.3">
      <c r="B12" s="174" t="s">
        <v>273</v>
      </c>
      <c r="C12" s="174"/>
      <c r="D12" s="187">
        <f>SUM(D3:D11)</f>
        <v>0</v>
      </c>
      <c r="E12" s="174"/>
      <c r="F12" s="48"/>
      <c r="G12" s="174" t="s">
        <v>274</v>
      </c>
      <c r="H12" s="182">
        <f>+F12-D12</f>
        <v>0</v>
      </c>
      <c r="I12" s="182">
        <f>+D8+D6</f>
        <v>0</v>
      </c>
    </row>
    <row r="13" spans="2:9" ht="15" customHeight="1" x14ac:dyDescent="0.3">
      <c r="D13" s="141"/>
    </row>
    <row r="14" spans="2:9" ht="15" customHeight="1" x14ac:dyDescent="0.3">
      <c r="D14" s="141"/>
      <c r="F14" s="55" t="s">
        <v>270</v>
      </c>
      <c r="G14" s="55" t="s">
        <v>268</v>
      </c>
      <c r="H14" s="55" t="s">
        <v>269</v>
      </c>
    </row>
    <row r="15" spans="2:9" x14ac:dyDescent="0.3">
      <c r="B15" t="s">
        <v>267</v>
      </c>
    </row>
    <row r="16" spans="2:9" x14ac:dyDescent="0.3">
      <c r="C16" t="str">
        <f>+ESF!B6</f>
        <v>Deudores Comerciales</v>
      </c>
      <c r="F16" s="4"/>
      <c r="G16" s="49"/>
      <c r="H16" t="str">
        <f>+C6</f>
        <v>Deterioro CxC</v>
      </c>
    </row>
    <row r="17" spans="2:10" ht="15" thickBot="1" x14ac:dyDescent="0.35">
      <c r="C17" t="str">
        <f>+ESF!B12</f>
        <v>Impuestos por Recuperar</v>
      </c>
      <c r="F17" s="4"/>
      <c r="G17" s="49"/>
      <c r="H17" t="str">
        <f>+ESF!D13</f>
        <v>PPM por Pagar</v>
      </c>
    </row>
    <row r="18" spans="2:10" x14ac:dyDescent="0.3">
      <c r="C18" t="str">
        <f>+ESF!G6</f>
        <v>Cuentas por Pagar Comerciales</v>
      </c>
      <c r="F18" s="4"/>
      <c r="G18" s="183"/>
      <c r="H18" s="98" t="str">
        <f>+ESF!I6</f>
        <v>AFP</v>
      </c>
      <c r="I18" s="184"/>
    </row>
    <row r="19" spans="2:10" x14ac:dyDescent="0.3">
      <c r="C19" t="str">
        <f>+ESF!G12</f>
        <v>Impuestos por Pagar</v>
      </c>
      <c r="G19" s="84"/>
      <c r="H19" s="24" t="str">
        <f>+ESF!I7</f>
        <v>Salud (Isapre)</v>
      </c>
      <c r="I19" s="185"/>
    </row>
    <row r="20" spans="2:10" x14ac:dyDescent="0.3">
      <c r="G20" s="84"/>
      <c r="H20" s="24" t="str">
        <f>+ESF!I10</f>
        <v>IVA DF</v>
      </c>
      <c r="I20" s="185"/>
    </row>
    <row r="21" spans="2:10" ht="15" thickBot="1" x14ac:dyDescent="0.35">
      <c r="G21" s="96"/>
      <c r="H21" s="16" t="str">
        <f>+ESF!I11</f>
        <v>IVA CF</v>
      </c>
      <c r="I21" s="186"/>
    </row>
    <row r="22" spans="2:10" x14ac:dyDescent="0.3">
      <c r="C22" t="s">
        <v>272</v>
      </c>
      <c r="E22" t="s">
        <v>280</v>
      </c>
      <c r="H22" s="174" t="s">
        <v>271</v>
      </c>
      <c r="I22" s="182"/>
      <c r="J22" s="4">
        <f>+'Libro de Compras'!F7+'Libro de Compras'!F17</f>
        <v>52126500</v>
      </c>
    </row>
    <row r="23" spans="2:10" x14ac:dyDescent="0.3">
      <c r="C23" t="s">
        <v>276</v>
      </c>
      <c r="E23" t="s">
        <v>281</v>
      </c>
      <c r="I23" s="49"/>
    </row>
    <row r="24" spans="2:10" x14ac:dyDescent="0.3">
      <c r="C24" s="188" t="s">
        <v>275</v>
      </c>
      <c r="D24" s="189"/>
    </row>
    <row r="25" spans="2:10" x14ac:dyDescent="0.3">
      <c r="D25"/>
    </row>
    <row r="26" spans="2:10" ht="15" thickBot="1" x14ac:dyDescent="0.35">
      <c r="B26" s="1" t="s">
        <v>283</v>
      </c>
      <c r="D26" s="59">
        <f>SUM(D12:D24)</f>
        <v>0</v>
      </c>
    </row>
    <row r="27" spans="2:10" ht="15" thickTop="1" x14ac:dyDescent="0.3"/>
    <row r="29" spans="2:10" x14ac:dyDescent="0.3">
      <c r="C29" t="s">
        <v>279</v>
      </c>
      <c r="D29" s="4">
        <f>+'EFE D'!C41</f>
        <v>264726379.79999998</v>
      </c>
      <c r="E29" s="49">
        <f>+D29-D26</f>
        <v>264726379.79999998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showGridLines="0" workbookViewId="0">
      <selection activeCell="D25" sqref="D25"/>
    </sheetView>
  </sheetViews>
  <sheetFormatPr baseColWidth="10" defaultRowHeight="14.4" x14ac:dyDescent="0.3"/>
  <cols>
    <col min="1" max="1" width="3.88671875" customWidth="1"/>
    <col min="2" max="2" width="9.88671875" customWidth="1"/>
    <col min="3" max="3" width="15.6640625" customWidth="1"/>
    <col min="4" max="4" width="20.44140625" style="3" customWidth="1"/>
    <col min="5" max="5" width="14.33203125" customWidth="1"/>
    <col min="6" max="6" width="13.109375" customWidth="1"/>
    <col min="7" max="7" width="15" customWidth="1"/>
    <col min="8" max="8" width="13.109375" customWidth="1"/>
    <col min="9" max="9" width="12.44140625" customWidth="1"/>
    <col min="10" max="10" width="13.109375" customWidth="1"/>
  </cols>
  <sheetData>
    <row r="1" spans="2:13" ht="15" thickBot="1" x14ac:dyDescent="0.35">
      <c r="B1" t="s">
        <v>284</v>
      </c>
      <c r="I1" s="22">
        <v>0.02</v>
      </c>
    </row>
    <row r="2" spans="2:13" s="2" customFormat="1" x14ac:dyDescent="0.3">
      <c r="B2" s="68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6</v>
      </c>
      <c r="H2" s="70" t="s">
        <v>5</v>
      </c>
      <c r="I2" s="2" t="s">
        <v>64</v>
      </c>
      <c r="J2" s="2" t="s">
        <v>63</v>
      </c>
      <c r="K2" s="2" t="s">
        <v>69</v>
      </c>
      <c r="L2" s="2" t="s">
        <v>89</v>
      </c>
      <c r="M2" s="2" t="s">
        <v>91</v>
      </c>
    </row>
    <row r="3" spans="2:13" x14ac:dyDescent="0.3">
      <c r="B3" s="71">
        <v>44951</v>
      </c>
      <c r="C3" s="24">
        <v>76745643</v>
      </c>
      <c r="D3" s="25" t="s">
        <v>7</v>
      </c>
      <c r="E3" s="26">
        <v>15800000</v>
      </c>
      <c r="F3" s="26">
        <f>+E3*0.19</f>
        <v>3002000</v>
      </c>
      <c r="G3" s="26">
        <v>0</v>
      </c>
      <c r="H3" s="72">
        <f>+E3+F3+G3</f>
        <v>18802000</v>
      </c>
    </row>
    <row r="4" spans="2:13" ht="15" thickBot="1" x14ac:dyDescent="0.35">
      <c r="B4" s="73">
        <v>44957</v>
      </c>
      <c r="C4" s="16">
        <f>+C3+1</f>
        <v>76745644</v>
      </c>
      <c r="D4" s="17" t="s">
        <v>8</v>
      </c>
      <c r="E4" s="18">
        <v>16580000</v>
      </c>
      <c r="F4" s="18">
        <f t="shared" ref="F4:F20" si="0">+E4*0.19</f>
        <v>3150200</v>
      </c>
      <c r="G4" s="18">
        <v>0</v>
      </c>
      <c r="H4" s="74">
        <f t="shared" ref="H4:H13" si="1">+E4+F4+G4</f>
        <v>19730200</v>
      </c>
      <c r="I4" s="18">
        <f>+$I$1*(+E4+E3)</f>
        <v>647600</v>
      </c>
      <c r="J4" s="18">
        <f>+F3+F4</f>
        <v>6152200</v>
      </c>
      <c r="K4" s="4">
        <f>+'Libro de Compras'!F4+'Libro de Compras'!F5</f>
        <v>3990000</v>
      </c>
      <c r="L4" s="4">
        <f>+J4-K4</f>
        <v>2162200</v>
      </c>
      <c r="M4" s="4">
        <f>+I4+L4</f>
        <v>2809800</v>
      </c>
    </row>
    <row r="5" spans="2:13" x14ac:dyDescent="0.3">
      <c r="B5" s="75">
        <v>44972</v>
      </c>
      <c r="C5" s="76">
        <v>55667432</v>
      </c>
      <c r="D5" s="77" t="s">
        <v>9</v>
      </c>
      <c r="E5" s="78"/>
      <c r="F5" s="78">
        <f t="shared" si="0"/>
        <v>0</v>
      </c>
      <c r="G5" s="78">
        <v>15860000</v>
      </c>
      <c r="H5" s="79">
        <f t="shared" si="1"/>
        <v>15860000</v>
      </c>
    </row>
    <row r="6" spans="2:13" ht="15" thickBot="1" x14ac:dyDescent="0.35">
      <c r="B6" s="73">
        <v>44977</v>
      </c>
      <c r="C6" s="16">
        <f>+C4+1</f>
        <v>76745645</v>
      </c>
      <c r="D6" s="17" t="s">
        <v>10</v>
      </c>
      <c r="E6" s="18">
        <v>35670000</v>
      </c>
      <c r="F6" s="18">
        <f t="shared" si="0"/>
        <v>6777300</v>
      </c>
      <c r="G6" s="18">
        <v>0</v>
      </c>
      <c r="H6" s="74">
        <f t="shared" si="1"/>
        <v>42447300</v>
      </c>
      <c r="I6" s="18">
        <f>+$I$1*(+E6+G5)</f>
        <v>1030600</v>
      </c>
      <c r="J6" s="18">
        <f>+F5+F6</f>
        <v>6777300</v>
      </c>
      <c r="K6" s="4">
        <f>+'Libro de Compras'!F6+'Libro de Compras'!F7</f>
        <v>5101500</v>
      </c>
      <c r="L6" s="4">
        <f>+J6-K6</f>
        <v>1675800</v>
      </c>
      <c r="M6" s="4">
        <f>+I6+L6</f>
        <v>2706400</v>
      </c>
    </row>
    <row r="7" spans="2:13" x14ac:dyDescent="0.3">
      <c r="B7" s="71">
        <v>45001</v>
      </c>
      <c r="C7" s="24">
        <f t="shared" ref="C7:C18" si="2">+C6+1</f>
        <v>76745646</v>
      </c>
      <c r="D7" s="25" t="s">
        <v>11</v>
      </c>
      <c r="E7" s="26">
        <v>29650000</v>
      </c>
      <c r="F7" s="26">
        <f t="shared" si="0"/>
        <v>5633500</v>
      </c>
      <c r="G7" s="26">
        <v>0</v>
      </c>
      <c r="H7" s="72">
        <f t="shared" si="1"/>
        <v>35283500</v>
      </c>
    </row>
    <row r="8" spans="2:13" x14ac:dyDescent="0.3">
      <c r="B8" s="71">
        <v>45012</v>
      </c>
      <c r="C8" s="24">
        <f t="shared" si="2"/>
        <v>76745647</v>
      </c>
      <c r="D8" s="25" t="s">
        <v>7</v>
      </c>
      <c r="E8" s="26">
        <v>18960000</v>
      </c>
      <c r="F8" s="26">
        <f t="shared" si="0"/>
        <v>3602400</v>
      </c>
      <c r="G8" s="26">
        <v>0</v>
      </c>
      <c r="H8" s="72">
        <f t="shared" si="1"/>
        <v>22562400</v>
      </c>
    </row>
    <row r="9" spans="2:13" ht="15" thickBot="1" x14ac:dyDescent="0.35">
      <c r="B9" s="73">
        <v>45015</v>
      </c>
      <c r="C9" s="16">
        <f t="shared" si="2"/>
        <v>76745648</v>
      </c>
      <c r="D9" s="17" t="s">
        <v>12</v>
      </c>
      <c r="E9" s="18">
        <v>35485000</v>
      </c>
      <c r="F9" s="18">
        <f t="shared" si="0"/>
        <v>6742150</v>
      </c>
      <c r="G9" s="18">
        <v>0</v>
      </c>
      <c r="H9" s="74">
        <f t="shared" si="1"/>
        <v>42227150</v>
      </c>
      <c r="I9" s="18">
        <f>+$I$1*(+E7+E9+E8)</f>
        <v>1681900</v>
      </c>
      <c r="J9" s="18">
        <f>+F7+F8+F9</f>
        <v>15978050</v>
      </c>
      <c r="K9" s="4">
        <f>+'Libro de Compras'!F8+'Libro de Compras'!F9+'Libro de Compras'!F10</f>
        <v>8711500</v>
      </c>
      <c r="L9" s="4">
        <f>+J9-K9</f>
        <v>7266550</v>
      </c>
      <c r="M9" s="4">
        <f>+I9+L9</f>
        <v>8948450</v>
      </c>
    </row>
    <row r="10" spans="2:13" x14ac:dyDescent="0.3">
      <c r="B10" s="75">
        <v>45031</v>
      </c>
      <c r="C10" s="76">
        <f>+C5+1</f>
        <v>55667433</v>
      </c>
      <c r="D10" s="77" t="s">
        <v>13</v>
      </c>
      <c r="E10" s="78"/>
      <c r="F10" s="78">
        <f t="shared" si="0"/>
        <v>0</v>
      </c>
      <c r="G10" s="78">
        <v>28500000</v>
      </c>
      <c r="H10" s="79">
        <f t="shared" si="1"/>
        <v>28500000</v>
      </c>
    </row>
    <row r="11" spans="2:13" x14ac:dyDescent="0.3">
      <c r="B11" s="71">
        <v>45036</v>
      </c>
      <c r="C11" s="24">
        <f>+C9+1</f>
        <v>76745649</v>
      </c>
      <c r="D11" s="25" t="s">
        <v>14</v>
      </c>
      <c r="E11" s="26">
        <v>32542610</v>
      </c>
      <c r="F11" s="26">
        <f t="shared" si="0"/>
        <v>6183095.9000000004</v>
      </c>
      <c r="G11" s="26">
        <v>0</v>
      </c>
      <c r="H11" s="72">
        <f t="shared" si="1"/>
        <v>38725705.899999999</v>
      </c>
    </row>
    <row r="12" spans="2:13" ht="15" thickBot="1" x14ac:dyDescent="0.35">
      <c r="B12" s="73">
        <v>45041</v>
      </c>
      <c r="C12" s="16">
        <f t="shared" si="2"/>
        <v>76745650</v>
      </c>
      <c r="D12" s="17" t="s">
        <v>15</v>
      </c>
      <c r="E12" s="18">
        <v>48575000</v>
      </c>
      <c r="F12" s="18">
        <f t="shared" si="0"/>
        <v>9229250</v>
      </c>
      <c r="G12" s="18">
        <v>0</v>
      </c>
      <c r="H12" s="74">
        <f t="shared" si="1"/>
        <v>57804250</v>
      </c>
      <c r="I12" s="18">
        <f>+$I$1*(+G10+E12+E11)</f>
        <v>2192352.2000000002</v>
      </c>
      <c r="J12" s="18">
        <f>+F11+F12</f>
        <v>15412345.9</v>
      </c>
      <c r="K12" s="4">
        <f>+'Libro de Compras'!F11+'Libro de Compras'!F12+'Libro de Compras'!F13</f>
        <v>5979300</v>
      </c>
      <c r="L12" s="4">
        <f>+J12-K12</f>
        <v>9433045.9000000004</v>
      </c>
      <c r="M12" s="4">
        <f>+I12+L12</f>
        <v>11625398.100000001</v>
      </c>
    </row>
    <row r="13" spans="2:13" x14ac:dyDescent="0.3">
      <c r="B13" s="71">
        <v>45071</v>
      </c>
      <c r="C13" s="24">
        <f t="shared" si="2"/>
        <v>76745651</v>
      </c>
      <c r="D13" s="25" t="s">
        <v>16</v>
      </c>
      <c r="E13" s="26">
        <v>26358900</v>
      </c>
      <c r="F13" s="26">
        <f t="shared" si="0"/>
        <v>5008191</v>
      </c>
      <c r="G13" s="26">
        <v>0</v>
      </c>
      <c r="H13" s="72">
        <f t="shared" si="1"/>
        <v>31367091</v>
      </c>
    </row>
    <row r="14" spans="2:13" x14ac:dyDescent="0.3">
      <c r="B14" s="71">
        <v>45071</v>
      </c>
      <c r="C14" s="24">
        <f t="shared" si="2"/>
        <v>76745652</v>
      </c>
      <c r="D14" s="25" t="s">
        <v>17</v>
      </c>
      <c r="E14" s="26">
        <v>9850000</v>
      </c>
      <c r="F14" s="26">
        <f t="shared" si="0"/>
        <v>1871500</v>
      </c>
      <c r="G14" s="26">
        <v>0</v>
      </c>
      <c r="H14" s="72">
        <f t="shared" ref="H14:H18" si="3">+E14+F14+G14</f>
        <v>11721500</v>
      </c>
    </row>
    <row r="15" spans="2:13" ht="15" thickBot="1" x14ac:dyDescent="0.35">
      <c r="B15" s="80">
        <v>45071</v>
      </c>
      <c r="C15" s="19">
        <f>+C10+1</f>
        <v>55667434</v>
      </c>
      <c r="D15" s="20" t="s">
        <v>10</v>
      </c>
      <c r="E15" s="21"/>
      <c r="F15" s="21">
        <f t="shared" si="0"/>
        <v>0</v>
      </c>
      <c r="G15" s="21">
        <v>18752000</v>
      </c>
      <c r="H15" s="81">
        <f t="shared" si="3"/>
        <v>18752000</v>
      </c>
      <c r="I15" s="18">
        <f>+$I$1*(+E13+G15+E14)</f>
        <v>1099218</v>
      </c>
      <c r="J15" s="18">
        <f>+F13+F14</f>
        <v>6879691</v>
      </c>
      <c r="K15" s="4">
        <f>+'Libro de Compras'!F14+'Libro de Compras'!F15+'Libro de Compras'!F16</f>
        <v>5130000</v>
      </c>
      <c r="L15" s="4">
        <f>+J15-K15</f>
        <v>1749691</v>
      </c>
      <c r="M15" s="4">
        <f>+I15+L15</f>
        <v>2848909</v>
      </c>
    </row>
    <row r="16" spans="2:13" x14ac:dyDescent="0.3">
      <c r="B16" s="75">
        <v>45087</v>
      </c>
      <c r="C16" s="76">
        <f t="shared" si="2"/>
        <v>55667435</v>
      </c>
      <c r="D16" s="77" t="s">
        <v>11</v>
      </c>
      <c r="E16" s="78"/>
      <c r="F16" s="78">
        <f t="shared" si="0"/>
        <v>0</v>
      </c>
      <c r="G16" s="78">
        <v>85965000</v>
      </c>
      <c r="H16" s="79">
        <f t="shared" si="3"/>
        <v>85965000</v>
      </c>
    </row>
    <row r="17" spans="2:14" x14ac:dyDescent="0.3">
      <c r="B17" s="71">
        <v>45090</v>
      </c>
      <c r="C17" s="24">
        <f>+C14+1</f>
        <v>76745653</v>
      </c>
      <c r="D17" s="25" t="s">
        <v>7</v>
      </c>
      <c r="E17" s="26">
        <v>339650000</v>
      </c>
      <c r="F17" s="26">
        <f t="shared" si="0"/>
        <v>64533500</v>
      </c>
      <c r="G17" s="26">
        <v>0</v>
      </c>
      <c r="H17" s="72">
        <f t="shared" si="3"/>
        <v>404183500</v>
      </c>
    </row>
    <row r="18" spans="2:14" s="24" customFormat="1" x14ac:dyDescent="0.3">
      <c r="B18" s="71">
        <v>45095</v>
      </c>
      <c r="C18" s="24">
        <f t="shared" si="2"/>
        <v>76745654</v>
      </c>
      <c r="D18" s="25" t="s">
        <v>12</v>
      </c>
      <c r="E18" s="26">
        <v>88950000</v>
      </c>
      <c r="F18" s="26">
        <f t="shared" si="0"/>
        <v>16900500</v>
      </c>
      <c r="G18" s="26">
        <v>0</v>
      </c>
      <c r="H18" s="72">
        <f t="shared" si="3"/>
        <v>105850500</v>
      </c>
    </row>
    <row r="19" spans="2:14" x14ac:dyDescent="0.3">
      <c r="B19" s="82" t="s">
        <v>19</v>
      </c>
      <c r="C19" s="24"/>
      <c r="D19" s="25"/>
      <c r="E19" s="26">
        <v>89650000</v>
      </c>
      <c r="F19" s="26">
        <f t="shared" si="0"/>
        <v>17033500</v>
      </c>
      <c r="G19" s="26">
        <v>0</v>
      </c>
      <c r="H19" s="72">
        <f t="shared" ref="H19:H20" si="4">+E19+F19+G19</f>
        <v>106683500</v>
      </c>
    </row>
    <row r="20" spans="2:14" s="16" customFormat="1" ht="15" thickBot="1" x14ac:dyDescent="0.35">
      <c r="B20" s="83" t="s">
        <v>20</v>
      </c>
      <c r="D20" s="17"/>
      <c r="E20" s="21"/>
      <c r="F20" s="21">
        <f t="shared" si="0"/>
        <v>0</v>
      </c>
      <c r="G20" s="18">
        <v>198555000</v>
      </c>
      <c r="H20" s="74">
        <f t="shared" si="4"/>
        <v>198555000</v>
      </c>
      <c r="I20" s="18">
        <f>+$I$1*(G16+E17+E19+E18+G20)</f>
        <v>16055400</v>
      </c>
      <c r="J20" s="18">
        <f>+F17+F18+F19</f>
        <v>98467500</v>
      </c>
      <c r="K20" s="18">
        <f>+'Libro de Compras'!F17+'Libro de Compras'!F18+'Libro de Compras'!F19</f>
        <v>52444655</v>
      </c>
      <c r="L20" s="46">
        <f>+J20-K20</f>
        <v>46022845</v>
      </c>
      <c r="M20" s="18">
        <f>+I20+L20</f>
        <v>62078245</v>
      </c>
      <c r="N20" s="16" t="s">
        <v>89</v>
      </c>
    </row>
    <row r="21" spans="2:14" x14ac:dyDescent="0.3">
      <c r="B21" s="84"/>
      <c r="C21" s="24"/>
      <c r="D21" s="25"/>
      <c r="E21" s="26"/>
      <c r="F21" s="26"/>
      <c r="G21" s="8"/>
      <c r="H21" s="85"/>
      <c r="I21" s="8"/>
      <c r="J21" s="8"/>
      <c r="K21" s="8"/>
    </row>
    <row r="22" spans="2:14" s="1" customFormat="1" ht="15" thickBot="1" x14ac:dyDescent="0.35">
      <c r="B22" s="86" t="s">
        <v>18</v>
      </c>
      <c r="C22" s="87"/>
      <c r="D22" s="88">
        <v>45107</v>
      </c>
      <c r="E22" s="89">
        <f>SUM(E3:E20)</f>
        <v>787721510</v>
      </c>
      <c r="F22" s="89">
        <f t="shared" ref="F22:H22" si="5">SUM(F3:F20)</f>
        <v>149667086.90000001</v>
      </c>
      <c r="G22" s="89">
        <f t="shared" si="5"/>
        <v>347632000</v>
      </c>
      <c r="H22" s="90">
        <f t="shared" si="5"/>
        <v>1285020596.9000001</v>
      </c>
      <c r="I22" s="5">
        <f>+I4+I6+I9+I12+I15+I20</f>
        <v>22707070.199999999</v>
      </c>
      <c r="J22" s="5">
        <f>+J4+J6+J9+J12+J15+J20</f>
        <v>149667086.90000001</v>
      </c>
      <c r="K22" s="8"/>
    </row>
    <row r="23" spans="2:14" x14ac:dyDescent="0.3">
      <c r="G23" s="11"/>
      <c r="H23" s="12"/>
      <c r="I23" s="35">
        <f>+I22/(+E22+G22)</f>
        <v>0.02</v>
      </c>
      <c r="J23" s="13"/>
      <c r="K23" s="8"/>
    </row>
    <row r="24" spans="2:14" x14ac:dyDescent="0.3">
      <c r="G24" s="36">
        <f>+E22+G22</f>
        <v>1135353510</v>
      </c>
      <c r="H24" s="12"/>
      <c r="I24" s="13"/>
      <c r="J24" s="13"/>
      <c r="K24" s="8"/>
    </row>
    <row r="25" spans="2:14" x14ac:dyDescent="0.3">
      <c r="G25" s="14"/>
      <c r="H25" s="12"/>
      <c r="I25" s="13"/>
      <c r="J25" s="13"/>
      <c r="K25" s="8"/>
    </row>
    <row r="26" spans="2:14" x14ac:dyDescent="0.3">
      <c r="G26" s="11"/>
      <c r="H26" s="12"/>
      <c r="I26" s="13"/>
      <c r="J26" s="13"/>
      <c r="K26" s="8"/>
    </row>
    <row r="27" spans="2:14" x14ac:dyDescent="0.3">
      <c r="G27" s="11"/>
      <c r="H27" s="12"/>
      <c r="I27" s="13"/>
      <c r="J27" s="13"/>
      <c r="K27" s="8"/>
    </row>
    <row r="28" spans="2:14" x14ac:dyDescent="0.3">
      <c r="G28" s="11"/>
      <c r="H28" s="12"/>
      <c r="I28" s="13"/>
      <c r="J28" s="13"/>
      <c r="K28" s="13"/>
    </row>
    <row r="29" spans="2:14" x14ac:dyDescent="0.3">
      <c r="G29" s="11"/>
      <c r="H29" s="12"/>
      <c r="I29" s="13"/>
      <c r="J29" s="13"/>
      <c r="K29" s="13"/>
    </row>
    <row r="30" spans="2:14" x14ac:dyDescent="0.3">
      <c r="G30" s="11"/>
      <c r="H30" s="12"/>
      <c r="I30" s="13"/>
      <c r="J30" s="13"/>
      <c r="K30" s="13"/>
    </row>
    <row r="31" spans="2:14" x14ac:dyDescent="0.3">
      <c r="G31" s="11"/>
      <c r="H31" s="12"/>
      <c r="I31" s="13"/>
      <c r="J31" s="13"/>
      <c r="K31" s="13"/>
    </row>
    <row r="32" spans="2:14" x14ac:dyDescent="0.3">
      <c r="G32" s="8"/>
      <c r="H32" s="8"/>
      <c r="I32" s="8"/>
      <c r="J32" s="8"/>
      <c r="K32" s="8"/>
    </row>
    <row r="33" spans="7:11" x14ac:dyDescent="0.3">
      <c r="G33" s="9"/>
      <c r="H33" s="7"/>
      <c r="I33" s="10"/>
      <c r="J33" s="10"/>
      <c r="K33" s="10"/>
    </row>
    <row r="34" spans="7:11" x14ac:dyDescent="0.3">
      <c r="G34" s="11"/>
      <c r="H34" s="12"/>
      <c r="I34" s="13"/>
      <c r="J34" s="13"/>
      <c r="K34" s="13"/>
    </row>
    <row r="35" spans="7:11" x14ac:dyDescent="0.3">
      <c r="G35" s="11"/>
      <c r="H35" s="12"/>
      <c r="I35" s="13"/>
      <c r="J35" s="13"/>
      <c r="K35" s="13"/>
    </row>
    <row r="36" spans="7:11" x14ac:dyDescent="0.3">
      <c r="G36" s="11"/>
      <c r="H36" s="12"/>
      <c r="I36" s="13"/>
      <c r="J36" s="13"/>
      <c r="K36" s="13"/>
    </row>
    <row r="37" spans="7:11" x14ac:dyDescent="0.3">
      <c r="G37" s="11"/>
      <c r="H37" s="12"/>
      <c r="I37" s="13"/>
      <c r="J37" s="13"/>
      <c r="K37" s="13"/>
    </row>
    <row r="38" spans="7:11" x14ac:dyDescent="0.3">
      <c r="G38" s="15"/>
      <c r="H38" s="12"/>
      <c r="I38" s="13"/>
      <c r="J38" s="13"/>
      <c r="K38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>
      <selection activeCell="F19" sqref="F19"/>
    </sheetView>
  </sheetViews>
  <sheetFormatPr baseColWidth="10" defaultRowHeight="14.4" x14ac:dyDescent="0.3"/>
  <cols>
    <col min="2" max="2" width="13.33203125" customWidth="1"/>
    <col min="3" max="3" width="13.109375" bestFit="1" customWidth="1"/>
    <col min="4" max="5" width="16.77734375" hidden="1" customWidth="1"/>
    <col min="6" max="6" width="8.88671875" customWidth="1"/>
  </cols>
  <sheetData>
    <row r="1" spans="1:8" ht="15" thickBot="1" x14ac:dyDescent="0.35"/>
    <row r="2" spans="1:8" s="2" customFormat="1" x14ac:dyDescent="0.3">
      <c r="A2" s="91" t="s">
        <v>0</v>
      </c>
      <c r="B2" s="69"/>
      <c r="C2" s="69" t="s">
        <v>22</v>
      </c>
      <c r="D2" s="69" t="s">
        <v>23</v>
      </c>
      <c r="E2" s="69" t="s">
        <v>24</v>
      </c>
      <c r="F2" s="69" t="s">
        <v>25</v>
      </c>
      <c r="G2" s="70" t="s">
        <v>27</v>
      </c>
    </row>
    <row r="3" spans="1:8" hidden="1" x14ac:dyDescent="0.3">
      <c r="A3" s="84"/>
      <c r="B3" s="24" t="s">
        <v>21</v>
      </c>
      <c r="C3" s="24"/>
      <c r="D3" s="24"/>
      <c r="E3" s="24"/>
      <c r="F3" s="24"/>
      <c r="G3" s="92"/>
    </row>
    <row r="4" spans="1:8" hidden="1" x14ac:dyDescent="0.3">
      <c r="A4" s="84"/>
      <c r="B4" s="24"/>
      <c r="C4" s="24"/>
      <c r="D4" s="24"/>
      <c r="E4" s="24"/>
      <c r="F4" s="24"/>
      <c r="G4" s="92"/>
    </row>
    <row r="5" spans="1:8" x14ac:dyDescent="0.3">
      <c r="A5" s="84"/>
      <c r="B5" s="24"/>
      <c r="C5" s="24"/>
      <c r="D5" s="24"/>
      <c r="E5" s="24"/>
      <c r="F5" s="24"/>
      <c r="G5" s="92"/>
    </row>
    <row r="6" spans="1:8" ht="15" thickBot="1" x14ac:dyDescent="0.35">
      <c r="A6" s="93">
        <v>44927</v>
      </c>
      <c r="B6" s="16" t="s">
        <v>30</v>
      </c>
      <c r="C6" s="18">
        <f>+'Aux Clientes'!E7</f>
        <v>41126400</v>
      </c>
      <c r="D6" s="16"/>
      <c r="E6" s="16"/>
      <c r="F6" s="16" t="str">
        <f>+'Aux Clientes'!B7</f>
        <v>C019</v>
      </c>
      <c r="G6" s="94">
        <f>+'Aux Clientes'!C7</f>
        <v>76745638</v>
      </c>
      <c r="H6" s="18">
        <f>+C6</f>
        <v>41126400</v>
      </c>
    </row>
    <row r="7" spans="1:8" x14ac:dyDescent="0.3">
      <c r="A7" s="95">
        <v>44958</v>
      </c>
      <c r="B7" s="24" t="s">
        <v>30</v>
      </c>
      <c r="C7" s="26">
        <f>+'Aux Clientes'!E8</f>
        <v>16012640</v>
      </c>
      <c r="D7" s="24"/>
      <c r="E7" s="24"/>
      <c r="F7" s="24" t="str">
        <f>+'Aux Clientes'!B8</f>
        <v>C002</v>
      </c>
      <c r="G7" s="92">
        <f>+'Aux Clientes'!C8</f>
        <v>76745623</v>
      </c>
    </row>
    <row r="8" spans="1:8" x14ac:dyDescent="0.3">
      <c r="A8" s="95">
        <v>44958</v>
      </c>
      <c r="B8" s="24" t="s">
        <v>30</v>
      </c>
      <c r="C8" s="26">
        <f>+'Aux Clientes'!E10</f>
        <v>17890000</v>
      </c>
      <c r="D8" s="24"/>
      <c r="E8" s="24"/>
      <c r="F8" s="24" t="str">
        <f>+'Aux Clientes'!B10</f>
        <v>C025</v>
      </c>
      <c r="G8" s="92">
        <f>+'Aux Clientes'!C10</f>
        <v>55667416</v>
      </c>
    </row>
    <row r="9" spans="1:8" x14ac:dyDescent="0.3">
      <c r="A9" s="95">
        <v>44958</v>
      </c>
      <c r="B9" s="24" t="s">
        <v>30</v>
      </c>
      <c r="C9" s="26">
        <f>+'Libro Ventas'!H3</f>
        <v>18802000</v>
      </c>
      <c r="D9" s="24"/>
      <c r="E9" s="24"/>
      <c r="F9" s="24" t="str">
        <f>+'Libro Ventas'!D3</f>
        <v>C001</v>
      </c>
      <c r="G9" s="92">
        <f>+'Libro Ventas'!C3</f>
        <v>76745643</v>
      </c>
    </row>
    <row r="10" spans="1:8" ht="15" thickBot="1" x14ac:dyDescent="0.35">
      <c r="A10" s="93">
        <v>44958</v>
      </c>
      <c r="B10" s="16" t="s">
        <v>30</v>
      </c>
      <c r="C10" s="18">
        <f>+'Libro Ventas'!H4</f>
        <v>19730200</v>
      </c>
      <c r="D10" s="16"/>
      <c r="E10" s="16"/>
      <c r="F10" s="16" t="str">
        <f>+'Libro Ventas'!D4</f>
        <v>C003</v>
      </c>
      <c r="G10" s="94">
        <f>+'Libro Ventas'!C4</f>
        <v>76745644</v>
      </c>
      <c r="H10" s="18">
        <f>+C7+C8+C9+C10</f>
        <v>72434840</v>
      </c>
    </row>
    <row r="11" spans="1:8" x14ac:dyDescent="0.3">
      <c r="A11" s="95">
        <v>44986</v>
      </c>
      <c r="B11" s="24" t="s">
        <v>30</v>
      </c>
      <c r="C11" s="26">
        <f>+'Libro Ventas'!H5</f>
        <v>15860000</v>
      </c>
      <c r="D11" s="24"/>
      <c r="E11" s="24"/>
      <c r="F11" s="24" t="str">
        <f>+'Libro Ventas'!D5</f>
        <v>C010</v>
      </c>
      <c r="G11" s="92">
        <f>+'Libro Ventas'!C5</f>
        <v>55667432</v>
      </c>
    </row>
    <row r="12" spans="1:8" x14ac:dyDescent="0.3">
      <c r="A12" s="95">
        <v>44986</v>
      </c>
      <c r="B12" s="24" t="s">
        <v>30</v>
      </c>
      <c r="C12" s="26">
        <f>+'Libro Ventas'!H6</f>
        <v>42447300</v>
      </c>
      <c r="D12" s="24"/>
      <c r="E12" s="24"/>
      <c r="F12" s="24" t="str">
        <f>+'Libro Ventas'!D6</f>
        <v>C025</v>
      </c>
      <c r="G12" s="92">
        <f>+'Libro Ventas'!C6</f>
        <v>76745645</v>
      </c>
    </row>
    <row r="13" spans="1:8" x14ac:dyDescent="0.3">
      <c r="A13" s="95">
        <v>44986</v>
      </c>
      <c r="B13" s="24" t="s">
        <v>30</v>
      </c>
      <c r="C13" s="26">
        <f>+'Libro Ventas'!H7</f>
        <v>35283500</v>
      </c>
      <c r="D13" s="24"/>
      <c r="E13" s="24"/>
      <c r="F13" s="24" t="str">
        <f>+'Libro Ventas'!D7</f>
        <v>C007</v>
      </c>
      <c r="G13" s="92">
        <f>+'Libro Ventas'!C7</f>
        <v>76745646</v>
      </c>
    </row>
    <row r="14" spans="1:8" ht="15" thickBot="1" x14ac:dyDescent="0.35">
      <c r="A14" s="93">
        <v>44986</v>
      </c>
      <c r="B14" s="16" t="s">
        <v>30</v>
      </c>
      <c r="C14" s="18">
        <f>+'Libro Ventas'!H8</f>
        <v>22562400</v>
      </c>
      <c r="D14" s="16"/>
      <c r="E14" s="16"/>
      <c r="F14" s="16" t="str">
        <f>+'Libro Ventas'!D8</f>
        <v>C001</v>
      </c>
      <c r="G14" s="94">
        <f>+'Libro Ventas'!C8</f>
        <v>76745647</v>
      </c>
      <c r="H14" s="18">
        <f>+C11+C12+C13+C14</f>
        <v>116153200</v>
      </c>
    </row>
    <row r="15" spans="1:8" x14ac:dyDescent="0.3">
      <c r="A15" s="95">
        <v>45017</v>
      </c>
      <c r="B15" s="24" t="s">
        <v>30</v>
      </c>
      <c r="C15" s="26">
        <f>+'Libro Ventas'!H9</f>
        <v>42227150</v>
      </c>
      <c r="D15" s="24"/>
      <c r="E15" s="24"/>
      <c r="F15" s="24" t="str">
        <f>+'Libro Ventas'!D9</f>
        <v>C002</v>
      </c>
      <c r="G15" s="92">
        <f>+'Libro Ventas'!C9</f>
        <v>76745648</v>
      </c>
    </row>
    <row r="16" spans="1:8" ht="15" thickBot="1" x14ac:dyDescent="0.35">
      <c r="A16" s="93">
        <v>45017</v>
      </c>
      <c r="B16" s="16" t="s">
        <v>30</v>
      </c>
      <c r="C16" s="18">
        <f>+'Libro Ventas'!H10</f>
        <v>28500000</v>
      </c>
      <c r="D16" s="16"/>
      <c r="E16" s="16"/>
      <c r="F16" s="16" t="str">
        <f>+'Libro Ventas'!D10</f>
        <v>C014</v>
      </c>
      <c r="G16" s="94">
        <f>+'Libro Ventas'!C10</f>
        <v>55667433</v>
      </c>
      <c r="H16" s="18">
        <f>+C15+C16</f>
        <v>70727150</v>
      </c>
    </row>
    <row r="17" spans="1:8" x14ac:dyDescent="0.3">
      <c r="A17" s="95">
        <v>45047</v>
      </c>
      <c r="B17" s="24" t="s">
        <v>30</v>
      </c>
      <c r="C17" s="26">
        <f>+'Libro Ventas'!H11</f>
        <v>38725705.899999999</v>
      </c>
      <c r="D17" s="24"/>
      <c r="E17" s="24"/>
      <c r="F17" s="24" t="str">
        <f>+'Libro Ventas'!D11</f>
        <v>C017</v>
      </c>
      <c r="G17" s="92">
        <f>+'Libro Ventas'!C11</f>
        <v>76745649</v>
      </c>
    </row>
    <row r="18" spans="1:8" x14ac:dyDescent="0.3">
      <c r="A18" s="95">
        <v>45047</v>
      </c>
      <c r="B18" s="24" t="s">
        <v>30</v>
      </c>
      <c r="C18" s="26">
        <f>+'Libro Ventas'!H12</f>
        <v>57804250</v>
      </c>
      <c r="D18" s="24"/>
      <c r="E18" s="24"/>
      <c r="F18" s="24" t="str">
        <f>+'Libro Ventas'!D12</f>
        <v>C018</v>
      </c>
      <c r="G18" s="92">
        <f>+'Libro Ventas'!C12</f>
        <v>76745650</v>
      </c>
    </row>
    <row r="19" spans="1:8" ht="15" thickBot="1" x14ac:dyDescent="0.35">
      <c r="A19" s="93">
        <v>45047</v>
      </c>
      <c r="B19" s="16" t="s">
        <v>30</v>
      </c>
      <c r="C19" s="18">
        <f>+'Libro Ventas'!H13</f>
        <v>31367091</v>
      </c>
      <c r="D19" s="16"/>
      <c r="E19" s="16"/>
      <c r="F19" s="16" t="str">
        <f>+'Libro Ventas'!D13</f>
        <v>C019</v>
      </c>
      <c r="G19" s="94">
        <f>+'Libro Ventas'!C13</f>
        <v>76745651</v>
      </c>
      <c r="H19" s="18">
        <f>+C17+C18+C19</f>
        <v>127897046.90000001</v>
      </c>
    </row>
    <row r="20" spans="1:8" x14ac:dyDescent="0.3">
      <c r="A20" s="95">
        <v>45078</v>
      </c>
      <c r="B20" s="24" t="s">
        <v>30</v>
      </c>
      <c r="C20" s="26">
        <f>+'Libro Ventas'!H14</f>
        <v>11721500</v>
      </c>
      <c r="D20" s="24"/>
      <c r="E20" s="24"/>
      <c r="F20" s="24" t="str">
        <f>+'Libro Ventas'!D14</f>
        <v>C020</v>
      </c>
      <c r="G20" s="92">
        <f>+'Libro Ventas'!C14</f>
        <v>76745652</v>
      </c>
    </row>
    <row r="21" spans="1:8" x14ac:dyDescent="0.3">
      <c r="A21" s="95">
        <v>45078</v>
      </c>
      <c r="B21" s="24" t="s">
        <v>30</v>
      </c>
      <c r="C21" s="26">
        <f>+'Libro Ventas'!H15</f>
        <v>18752000</v>
      </c>
      <c r="D21" s="24"/>
      <c r="E21" s="24"/>
      <c r="F21" s="24" t="str">
        <f>+'Libro Ventas'!D15</f>
        <v>C025</v>
      </c>
      <c r="G21" s="92">
        <f>+'Libro Ventas'!C15</f>
        <v>55667434</v>
      </c>
    </row>
    <row r="22" spans="1:8" x14ac:dyDescent="0.3">
      <c r="A22" s="95">
        <v>45078</v>
      </c>
      <c r="B22" s="24" t="s">
        <v>30</v>
      </c>
      <c r="C22" s="26">
        <f>+'Libro Ventas'!H19-5000000</f>
        <v>101683500</v>
      </c>
      <c r="D22" s="24"/>
      <c r="E22" s="24"/>
      <c r="F22" s="24" t="s">
        <v>32</v>
      </c>
      <c r="G22" s="92"/>
    </row>
    <row r="23" spans="1:8" ht="15" thickBot="1" x14ac:dyDescent="0.35">
      <c r="A23" s="93">
        <v>45078</v>
      </c>
      <c r="B23" s="16" t="s">
        <v>30</v>
      </c>
      <c r="C23" s="18">
        <f>+'Libro Ventas'!H20-25000000</f>
        <v>173555000</v>
      </c>
      <c r="D23" s="16"/>
      <c r="E23" s="16"/>
      <c r="F23" s="16" t="s">
        <v>32</v>
      </c>
      <c r="G23" s="94"/>
      <c r="H23" s="18">
        <f>+C20+C21+C22+C23</f>
        <v>305712000</v>
      </c>
    </row>
    <row r="24" spans="1:8" x14ac:dyDescent="0.3">
      <c r="A24" s="84"/>
      <c r="B24" s="24"/>
      <c r="C24" s="24"/>
      <c r="D24" s="24"/>
      <c r="E24" s="24"/>
      <c r="F24" s="24"/>
      <c r="G24" s="92"/>
    </row>
    <row r="25" spans="1:8" ht="15" thickBot="1" x14ac:dyDescent="0.35">
      <c r="A25" s="84"/>
      <c r="B25" s="24"/>
      <c r="C25" s="27">
        <f>SUM(C6:C24)</f>
        <v>734050636.89999998</v>
      </c>
      <c r="D25" s="24"/>
      <c r="E25" s="24"/>
      <c r="F25" s="24"/>
      <c r="G25" s="92"/>
    </row>
    <row r="26" spans="1:8" ht="15" thickTop="1" x14ac:dyDescent="0.3">
      <c r="A26" s="84"/>
      <c r="B26" s="24"/>
      <c r="C26" s="24"/>
      <c r="D26" s="24"/>
      <c r="E26" s="24"/>
      <c r="F26" s="24"/>
      <c r="G26" s="92"/>
    </row>
    <row r="27" spans="1:8" ht="15" thickBot="1" x14ac:dyDescent="0.35">
      <c r="A27" s="96" t="s">
        <v>131</v>
      </c>
      <c r="B27" s="16"/>
      <c r="C27" s="18">
        <v>200000000</v>
      </c>
      <c r="D27" s="16"/>
      <c r="E27" s="16"/>
      <c r="F27" s="16"/>
      <c r="G27" s="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showGridLines="0" workbookViewId="0">
      <selection activeCell="E23" sqref="E23"/>
    </sheetView>
  </sheetViews>
  <sheetFormatPr baseColWidth="10" defaultRowHeight="14.4" x14ac:dyDescent="0.3"/>
  <cols>
    <col min="1" max="1" width="9" customWidth="1"/>
    <col min="5" max="5" width="12.33203125" bestFit="1" customWidth="1"/>
  </cols>
  <sheetData>
    <row r="2" spans="2:10" ht="15" thickBot="1" x14ac:dyDescent="0.35"/>
    <row r="3" spans="2:10" x14ac:dyDescent="0.3">
      <c r="B3" s="97" t="s">
        <v>26</v>
      </c>
      <c r="C3" s="98"/>
      <c r="D3" s="98"/>
      <c r="E3" s="98"/>
      <c r="F3" s="98"/>
      <c r="G3" s="99" t="s">
        <v>31</v>
      </c>
      <c r="H3" s="98"/>
      <c r="I3" s="98"/>
      <c r="J3" s="100"/>
    </row>
    <row r="4" spans="2:10" x14ac:dyDescent="0.3">
      <c r="B4" s="84"/>
      <c r="C4" s="24"/>
      <c r="D4" s="24"/>
      <c r="E4" s="24"/>
      <c r="F4" s="24"/>
      <c r="G4" s="24"/>
      <c r="H4" s="24"/>
      <c r="I4" s="24"/>
      <c r="J4" s="92"/>
    </row>
    <row r="5" spans="2:10" s="2" customFormat="1" x14ac:dyDescent="0.3">
      <c r="B5" s="101" t="s">
        <v>2</v>
      </c>
      <c r="C5" s="102" t="s">
        <v>27</v>
      </c>
      <c r="D5" s="102" t="s">
        <v>28</v>
      </c>
      <c r="E5" s="102" t="s">
        <v>29</v>
      </c>
      <c r="F5" s="102"/>
      <c r="G5" s="102" t="s">
        <v>2</v>
      </c>
      <c r="H5" s="102" t="s">
        <v>27</v>
      </c>
      <c r="I5" s="102" t="s">
        <v>28</v>
      </c>
      <c r="J5" s="103" t="s">
        <v>29</v>
      </c>
    </row>
    <row r="6" spans="2:10" x14ac:dyDescent="0.3">
      <c r="B6" s="84" t="str">
        <f>+'Libro Ventas'!D7</f>
        <v>C007</v>
      </c>
      <c r="C6" s="24">
        <f>+'Libro Ventas'!C3-1</f>
        <v>76745642</v>
      </c>
      <c r="D6" s="104">
        <v>44896</v>
      </c>
      <c r="E6" s="26">
        <f>15690000*1.19</f>
        <v>18671100</v>
      </c>
      <c r="F6" s="24"/>
      <c r="G6" s="24" t="str">
        <f>+B6</f>
        <v>C007</v>
      </c>
      <c r="H6" s="24">
        <f t="shared" ref="H6:J6" si="0">+C6</f>
        <v>76745642</v>
      </c>
      <c r="I6" s="104">
        <f t="shared" si="0"/>
        <v>44896</v>
      </c>
      <c r="J6" s="72">
        <f t="shared" si="0"/>
        <v>18671100</v>
      </c>
    </row>
    <row r="7" spans="2:10" x14ac:dyDescent="0.3">
      <c r="B7" s="84" t="str">
        <f>+'Libro Ventas'!D13</f>
        <v>C019</v>
      </c>
      <c r="C7" s="24">
        <f>+C6-4</f>
        <v>76745638</v>
      </c>
      <c r="D7" s="104">
        <v>44896</v>
      </c>
      <c r="E7" s="26">
        <f>345600*119</f>
        <v>41126400</v>
      </c>
      <c r="F7" s="24"/>
      <c r="G7" s="76" t="str">
        <f>+B9</f>
        <v>C025</v>
      </c>
      <c r="H7" s="76">
        <f t="shared" ref="H7:J7" si="1">+C9</f>
        <v>55667428</v>
      </c>
      <c r="I7" s="105">
        <f t="shared" si="1"/>
        <v>44896</v>
      </c>
      <c r="J7" s="79">
        <f t="shared" si="1"/>
        <v>15260000</v>
      </c>
    </row>
    <row r="8" spans="2:10" x14ac:dyDescent="0.3">
      <c r="B8" s="84" t="str">
        <f>+'Libro Ventas'!D18</f>
        <v>C002</v>
      </c>
      <c r="C8" s="24">
        <f>+C7-15</f>
        <v>76745623</v>
      </c>
      <c r="D8" s="104">
        <v>44866</v>
      </c>
      <c r="E8" s="26">
        <f>13456000*1.19</f>
        <v>16012640</v>
      </c>
      <c r="F8" s="24"/>
      <c r="G8" s="24" t="str">
        <f>+'Libro Ventas'!D18</f>
        <v>C002</v>
      </c>
      <c r="H8" s="24">
        <f>+'Libro Ventas'!C18</f>
        <v>76745654</v>
      </c>
      <c r="I8" s="104">
        <f>+'Libro Ventas'!B18</f>
        <v>45095</v>
      </c>
      <c r="J8" s="72">
        <f>+'Libro Ventas'!H18</f>
        <v>105850500</v>
      </c>
    </row>
    <row r="9" spans="2:10" x14ac:dyDescent="0.3">
      <c r="B9" s="106" t="str">
        <f>+'Libro Ventas'!D15</f>
        <v>C025</v>
      </c>
      <c r="C9" s="76">
        <f>+'Libro Ventas'!C5-4</f>
        <v>55667428</v>
      </c>
      <c r="D9" s="105">
        <v>44896</v>
      </c>
      <c r="E9" s="78">
        <v>15260000</v>
      </c>
      <c r="F9" s="24"/>
      <c r="G9" s="24" t="str">
        <f>+'Libro Ventas'!D17</f>
        <v>C001</v>
      </c>
      <c r="H9" s="24">
        <f>+'Libro Ventas'!C17</f>
        <v>76745653</v>
      </c>
      <c r="I9" s="104">
        <f>+'Libro Ventas'!B17</f>
        <v>45090</v>
      </c>
      <c r="J9" s="72">
        <f>+'Libro Ventas'!H17</f>
        <v>404183500</v>
      </c>
    </row>
    <row r="10" spans="2:10" x14ac:dyDescent="0.3">
      <c r="B10" s="106" t="str">
        <f>+B9</f>
        <v>C025</v>
      </c>
      <c r="C10" s="76">
        <f>+C9-12</f>
        <v>55667416</v>
      </c>
      <c r="D10" s="105">
        <v>44774</v>
      </c>
      <c r="E10" s="78">
        <v>17890000</v>
      </c>
      <c r="F10" s="24"/>
      <c r="G10" s="76" t="str">
        <f>+'Libro Ventas'!D16</f>
        <v>C007</v>
      </c>
      <c r="H10" s="76">
        <f>+'Libro Ventas'!C16</f>
        <v>55667435</v>
      </c>
      <c r="I10" s="105">
        <f>+'Libro Ventas'!B16</f>
        <v>45087</v>
      </c>
      <c r="J10" s="79">
        <f>+'Libro Ventas'!H16</f>
        <v>85965000</v>
      </c>
    </row>
    <row r="11" spans="2:10" ht="15" thickBot="1" x14ac:dyDescent="0.35">
      <c r="B11" s="84"/>
      <c r="C11" s="24"/>
      <c r="D11" s="24"/>
      <c r="E11" s="5">
        <f>SUM(E6:E10)</f>
        <v>108960140</v>
      </c>
      <c r="F11" s="24"/>
      <c r="G11" s="24"/>
      <c r="H11" s="24"/>
      <c r="I11" s="24"/>
      <c r="J11" s="107">
        <f>SUM(J6:J10)</f>
        <v>629930100</v>
      </c>
    </row>
    <row r="12" spans="2:10" ht="15" thickTop="1" x14ac:dyDescent="0.3">
      <c r="B12" s="84"/>
      <c r="C12" s="24"/>
      <c r="D12" s="24"/>
      <c r="E12" s="24"/>
      <c r="F12" s="24"/>
      <c r="G12" s="24"/>
      <c r="H12" s="24"/>
      <c r="I12" s="24"/>
      <c r="J12" s="92"/>
    </row>
    <row r="13" spans="2:10" x14ac:dyDescent="0.3">
      <c r="B13" s="84"/>
      <c r="C13" s="24"/>
      <c r="D13" s="24"/>
      <c r="E13" s="24"/>
      <c r="F13" s="24"/>
      <c r="G13" s="24"/>
      <c r="H13" s="24"/>
      <c r="I13" s="24"/>
      <c r="J13" s="92"/>
    </row>
    <row r="14" spans="2:10" x14ac:dyDescent="0.3">
      <c r="B14" s="84"/>
      <c r="C14" s="24"/>
      <c r="D14" s="24" t="s">
        <v>21</v>
      </c>
      <c r="E14" s="26">
        <f>+E11</f>
        <v>108960140</v>
      </c>
      <c r="F14" s="24"/>
      <c r="G14" s="24"/>
      <c r="H14" s="24"/>
      <c r="I14" s="24"/>
      <c r="J14" s="92"/>
    </row>
    <row r="15" spans="2:10" x14ac:dyDescent="0.3">
      <c r="B15" s="84"/>
      <c r="C15" s="24"/>
      <c r="D15" s="24" t="s">
        <v>52</v>
      </c>
      <c r="E15" s="26">
        <f>+'Libro Ventas'!H22</f>
        <v>1285020596.9000001</v>
      </c>
      <c r="F15" s="24"/>
      <c r="G15" s="24"/>
      <c r="H15" s="24"/>
      <c r="I15" s="24"/>
      <c r="J15" s="92"/>
    </row>
    <row r="16" spans="2:10" x14ac:dyDescent="0.3">
      <c r="B16" s="84"/>
      <c r="C16" s="24"/>
      <c r="D16" s="26" t="s">
        <v>222</v>
      </c>
      <c r="E16" s="26">
        <f>-'Comp Ingresos'!C6-'Comp Ingresos'!C7-'Comp Ingresos'!C8-'Comp Ingresos'!C9-'Comp Ingresos'!C10-'Comp Ingresos'!C11-'Comp Ingresos'!C12-'Comp Ingresos'!C13-'Comp Ingresos'!C14-'Comp Ingresos'!C15-'Comp Ingresos'!C16-'Comp Ingresos'!C17-'Comp Ingresos'!C18-'Comp Ingresos'!C19-'Comp Ingresos'!C20-'Comp Ingresos'!C21-'Comp Ingresos'!C22-'Comp Ingresos'!C23</f>
        <v>-734050636.89999998</v>
      </c>
      <c r="F16" s="24"/>
      <c r="G16" s="24"/>
      <c r="H16" s="24"/>
      <c r="I16" s="24"/>
      <c r="J16" s="92"/>
    </row>
    <row r="17" spans="2:10" ht="15" thickBot="1" x14ac:dyDescent="0.35">
      <c r="B17" s="84"/>
      <c r="C17" s="24"/>
      <c r="D17" s="24" t="s">
        <v>223</v>
      </c>
      <c r="E17" s="5">
        <f>SUM(E14:E16)</f>
        <v>659930100.00000012</v>
      </c>
      <c r="F17" s="24"/>
      <c r="G17" s="24"/>
      <c r="H17" s="24"/>
      <c r="I17" s="24"/>
      <c r="J17" s="92"/>
    </row>
    <row r="18" spans="2:10" ht="15.6" thickTop="1" thickBot="1" x14ac:dyDescent="0.35">
      <c r="B18" s="96"/>
      <c r="C18" s="16"/>
      <c r="D18" s="16"/>
      <c r="E18" s="18">
        <f>+E17-J11</f>
        <v>30000000.000000119</v>
      </c>
      <c r="F18" s="16" t="s">
        <v>122</v>
      </c>
      <c r="G18" s="16"/>
      <c r="H18" s="16"/>
      <c r="I18" s="16"/>
      <c r="J18" s="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showGridLines="0" workbookViewId="0">
      <selection activeCell="D20" sqref="D20"/>
    </sheetView>
  </sheetViews>
  <sheetFormatPr baseColWidth="10" defaultRowHeight="14.4" x14ac:dyDescent="0.3"/>
  <cols>
    <col min="2" max="2" width="9.88671875" customWidth="1"/>
    <col min="3" max="3" width="15.6640625" customWidth="1"/>
    <col min="4" max="4" width="15.44140625" style="3" customWidth="1"/>
    <col min="5" max="5" width="14.33203125" customWidth="1"/>
    <col min="6" max="6" width="13.109375" customWidth="1"/>
    <col min="8" max="8" width="42" bestFit="1" customWidth="1"/>
  </cols>
  <sheetData>
    <row r="2" spans="2:9" ht="15" thickBot="1" x14ac:dyDescent="0.35">
      <c r="B2" t="s">
        <v>285</v>
      </c>
    </row>
    <row r="3" spans="2:9" s="2" customFormat="1" x14ac:dyDescent="0.3">
      <c r="B3" s="68" t="s">
        <v>0</v>
      </c>
      <c r="C3" s="69" t="s">
        <v>1</v>
      </c>
      <c r="D3" s="69" t="s">
        <v>62</v>
      </c>
      <c r="E3" s="69" t="s">
        <v>3</v>
      </c>
      <c r="F3" s="69" t="s">
        <v>4</v>
      </c>
      <c r="G3" s="69" t="s">
        <v>5</v>
      </c>
      <c r="H3" s="70" t="s">
        <v>49</v>
      </c>
    </row>
    <row r="4" spans="2:9" x14ac:dyDescent="0.3">
      <c r="B4" s="71">
        <v>44936</v>
      </c>
      <c r="C4" s="24">
        <v>6156541541</v>
      </c>
      <c r="D4" s="25" t="s">
        <v>37</v>
      </c>
      <c r="E4" s="26">
        <v>15200000</v>
      </c>
      <c r="F4" s="26">
        <f>+E4*0.19</f>
        <v>2888000</v>
      </c>
      <c r="G4" s="26">
        <f>+E4+F4</f>
        <v>18088000</v>
      </c>
      <c r="H4" s="92" t="s">
        <v>50</v>
      </c>
    </row>
    <row r="5" spans="2:9" ht="15" thickBot="1" x14ac:dyDescent="0.35">
      <c r="B5" s="73">
        <v>44947</v>
      </c>
      <c r="C5" s="16">
        <v>564</v>
      </c>
      <c r="D5" s="17" t="s">
        <v>38</v>
      </c>
      <c r="E5" s="18">
        <v>5800000</v>
      </c>
      <c r="F5" s="18">
        <f t="shared" ref="F5:F19" si="0">+E5*0.19</f>
        <v>1102000</v>
      </c>
      <c r="G5" s="18">
        <f t="shared" ref="G5:G19" si="1">+E5+F5</f>
        <v>6902000</v>
      </c>
      <c r="H5" s="94" t="s">
        <v>54</v>
      </c>
    </row>
    <row r="6" spans="2:9" x14ac:dyDescent="0.3">
      <c r="B6" s="71">
        <v>44962</v>
      </c>
      <c r="C6" s="24">
        <v>651</v>
      </c>
      <c r="D6" s="25" t="s">
        <v>41</v>
      </c>
      <c r="E6" s="26">
        <v>2500000</v>
      </c>
      <c r="F6" s="26">
        <f t="shared" si="0"/>
        <v>475000</v>
      </c>
      <c r="G6" s="26">
        <f t="shared" si="1"/>
        <v>2975000</v>
      </c>
      <c r="H6" s="92" t="s">
        <v>50</v>
      </c>
    </row>
    <row r="7" spans="2:9" ht="15" thickBot="1" x14ac:dyDescent="0.35">
      <c r="B7" s="73">
        <v>44969</v>
      </c>
      <c r="C7" s="16">
        <v>656615615</v>
      </c>
      <c r="D7" s="17" t="s">
        <v>42</v>
      </c>
      <c r="E7" s="18">
        <v>24350000</v>
      </c>
      <c r="F7" s="18">
        <f t="shared" si="0"/>
        <v>4626500</v>
      </c>
      <c r="G7" s="18">
        <f t="shared" si="1"/>
        <v>28976500</v>
      </c>
      <c r="H7" s="94" t="s">
        <v>51</v>
      </c>
      <c r="I7" s="48">
        <f>+G7</f>
        <v>28976500</v>
      </c>
    </row>
    <row r="8" spans="2:9" x14ac:dyDescent="0.3">
      <c r="B8" s="71">
        <v>44986</v>
      </c>
      <c r="C8" s="24">
        <v>465409</v>
      </c>
      <c r="D8" s="25" t="s">
        <v>43</v>
      </c>
      <c r="E8" s="26">
        <v>21450000</v>
      </c>
      <c r="F8" s="26">
        <f t="shared" si="0"/>
        <v>4075500</v>
      </c>
      <c r="G8" s="26">
        <f t="shared" si="1"/>
        <v>25525500</v>
      </c>
      <c r="H8" s="92" t="s">
        <v>55</v>
      </c>
    </row>
    <row r="9" spans="2:9" x14ac:dyDescent="0.3">
      <c r="B9" s="71">
        <v>45002</v>
      </c>
      <c r="C9" s="24">
        <f>+C4+15</f>
        <v>6156541556</v>
      </c>
      <c r="D9" s="25" t="str">
        <f>+D4</f>
        <v>P001</v>
      </c>
      <c r="E9" s="26">
        <v>18500000</v>
      </c>
      <c r="F9" s="26">
        <f t="shared" si="0"/>
        <v>3515000</v>
      </c>
      <c r="G9" s="26">
        <f t="shared" si="1"/>
        <v>22015000</v>
      </c>
      <c r="H9" s="92" t="s">
        <v>50</v>
      </c>
    </row>
    <row r="10" spans="2:9" ht="15" thickBot="1" x14ac:dyDescent="0.35">
      <c r="B10" s="73">
        <v>45005</v>
      </c>
      <c r="C10" s="16">
        <v>1716514651</v>
      </c>
      <c r="D10" s="17" t="s">
        <v>39</v>
      </c>
      <c r="E10" s="18">
        <v>5900000</v>
      </c>
      <c r="F10" s="18">
        <f t="shared" si="0"/>
        <v>1121000</v>
      </c>
      <c r="G10" s="18">
        <f t="shared" si="1"/>
        <v>7021000</v>
      </c>
      <c r="H10" s="94" t="s">
        <v>55</v>
      </c>
    </row>
    <row r="11" spans="2:9" x14ac:dyDescent="0.3">
      <c r="B11" s="71">
        <v>45031</v>
      </c>
      <c r="C11" s="24">
        <v>15161</v>
      </c>
      <c r="D11" s="25" t="s">
        <v>40</v>
      </c>
      <c r="E11" s="26">
        <v>11520000</v>
      </c>
      <c r="F11" s="26">
        <f t="shared" si="0"/>
        <v>2188800</v>
      </c>
      <c r="G11" s="26">
        <f t="shared" si="1"/>
        <v>13708800</v>
      </c>
      <c r="H11" s="92" t="s">
        <v>56</v>
      </c>
    </row>
    <row r="12" spans="2:9" x14ac:dyDescent="0.3">
      <c r="B12" s="71">
        <v>45036</v>
      </c>
      <c r="C12" s="24">
        <v>56414132</v>
      </c>
      <c r="D12" s="25" t="s">
        <v>44</v>
      </c>
      <c r="E12" s="26">
        <v>6500000</v>
      </c>
      <c r="F12" s="26">
        <f t="shared" si="0"/>
        <v>1235000</v>
      </c>
      <c r="G12" s="26">
        <f t="shared" si="1"/>
        <v>7735000</v>
      </c>
      <c r="H12" s="92" t="s">
        <v>54</v>
      </c>
    </row>
    <row r="13" spans="2:9" ht="15" thickBot="1" x14ac:dyDescent="0.35">
      <c r="B13" s="73">
        <v>45041</v>
      </c>
      <c r="C13" s="16">
        <f>+C12/2</f>
        <v>28207066</v>
      </c>
      <c r="D13" s="17" t="s">
        <v>45</v>
      </c>
      <c r="E13" s="18">
        <v>13450000</v>
      </c>
      <c r="F13" s="18">
        <f t="shared" si="0"/>
        <v>2555500</v>
      </c>
      <c r="G13" s="18">
        <f t="shared" si="1"/>
        <v>16005500</v>
      </c>
      <c r="H13" s="94" t="s">
        <v>57</v>
      </c>
    </row>
    <row r="14" spans="2:9" x14ac:dyDescent="0.3">
      <c r="B14" s="71">
        <v>45071</v>
      </c>
      <c r="C14" s="24">
        <v>175171678</v>
      </c>
      <c r="D14" s="25" t="s">
        <v>46</v>
      </c>
      <c r="E14" s="26">
        <v>12000000</v>
      </c>
      <c r="F14" s="26">
        <f t="shared" si="0"/>
        <v>2280000</v>
      </c>
      <c r="G14" s="26">
        <f t="shared" si="1"/>
        <v>14280000</v>
      </c>
      <c r="H14" s="92" t="s">
        <v>58</v>
      </c>
    </row>
    <row r="15" spans="2:9" x14ac:dyDescent="0.3">
      <c r="B15" s="71">
        <v>45071</v>
      </c>
      <c r="C15" s="24">
        <v>415168419</v>
      </c>
      <c r="D15" s="25" t="s">
        <v>47</v>
      </c>
      <c r="E15" s="26">
        <v>10000000</v>
      </c>
      <c r="F15" s="26">
        <f t="shared" si="0"/>
        <v>1900000</v>
      </c>
      <c r="G15" s="26">
        <f t="shared" si="1"/>
        <v>11900000</v>
      </c>
      <c r="H15" s="92" t="s">
        <v>58</v>
      </c>
    </row>
    <row r="16" spans="2:9" ht="15" thickBot="1" x14ac:dyDescent="0.35">
      <c r="B16" s="73">
        <v>45071</v>
      </c>
      <c r="C16" s="16">
        <v>511855</v>
      </c>
      <c r="D16" s="17" t="s">
        <v>48</v>
      </c>
      <c r="E16" s="18">
        <v>5000000</v>
      </c>
      <c r="F16" s="18">
        <f t="shared" si="0"/>
        <v>950000</v>
      </c>
      <c r="G16" s="18">
        <f t="shared" si="1"/>
        <v>5950000</v>
      </c>
      <c r="H16" s="94" t="s">
        <v>56</v>
      </c>
    </row>
    <row r="17" spans="2:8" x14ac:dyDescent="0.3">
      <c r="B17" s="71">
        <v>45087</v>
      </c>
      <c r="C17" s="24">
        <f>+C8+1854</f>
        <v>467263</v>
      </c>
      <c r="D17" s="25" t="str">
        <f>+D8</f>
        <v>P015</v>
      </c>
      <c r="E17" s="26">
        <v>250000000</v>
      </c>
      <c r="F17" s="26">
        <f t="shared" si="0"/>
        <v>47500000</v>
      </c>
      <c r="G17" s="26">
        <f t="shared" si="1"/>
        <v>297500000</v>
      </c>
      <c r="H17" s="92" t="s">
        <v>53</v>
      </c>
    </row>
    <row r="18" spans="2:8" x14ac:dyDescent="0.3">
      <c r="B18" s="71">
        <v>45090</v>
      </c>
      <c r="C18" s="24">
        <f>+C9+185</f>
        <v>6156541741</v>
      </c>
      <c r="D18" s="25" t="str">
        <f>+D9</f>
        <v>P001</v>
      </c>
      <c r="E18" s="26">
        <v>19500000</v>
      </c>
      <c r="F18" s="26">
        <f t="shared" si="0"/>
        <v>3705000</v>
      </c>
      <c r="G18" s="26">
        <f t="shared" si="1"/>
        <v>23205000</v>
      </c>
      <c r="H18" s="92" t="s">
        <v>50</v>
      </c>
    </row>
    <row r="19" spans="2:8" ht="15" thickBot="1" x14ac:dyDescent="0.35">
      <c r="B19" s="73">
        <v>45095</v>
      </c>
      <c r="C19" s="16">
        <f>+C10+2564</f>
        <v>1716517215</v>
      </c>
      <c r="D19" s="17" t="str">
        <f>+D10</f>
        <v>P007</v>
      </c>
      <c r="E19" s="18">
        <v>6524500</v>
      </c>
      <c r="F19" s="18">
        <f t="shared" si="0"/>
        <v>1239655</v>
      </c>
      <c r="G19" s="18">
        <f t="shared" si="1"/>
        <v>7764155</v>
      </c>
      <c r="H19" s="94" t="s">
        <v>55</v>
      </c>
    </row>
    <row r="20" spans="2:8" x14ac:dyDescent="0.3">
      <c r="B20" s="84"/>
      <c r="C20" s="24"/>
      <c r="D20" s="25"/>
      <c r="E20" s="26"/>
      <c r="F20" s="26"/>
      <c r="G20" s="26"/>
      <c r="H20" s="92"/>
    </row>
    <row r="21" spans="2:8" s="1" customFormat="1" ht="15" thickBot="1" x14ac:dyDescent="0.35">
      <c r="B21" s="108" t="s">
        <v>18</v>
      </c>
      <c r="C21" s="109"/>
      <c r="D21" s="110">
        <v>45107</v>
      </c>
      <c r="E21" s="5">
        <f>SUM(E4:E19)</f>
        <v>428194500</v>
      </c>
      <c r="F21" s="5">
        <f t="shared" ref="F21:G21" si="2">SUM(F4:F19)</f>
        <v>81356955</v>
      </c>
      <c r="G21" s="5">
        <f t="shared" si="2"/>
        <v>509551455</v>
      </c>
      <c r="H21" s="111"/>
    </row>
    <row r="22" spans="2:8" ht="15" thickTop="1" x14ac:dyDescent="0.3">
      <c r="B22" s="84"/>
      <c r="C22" s="24"/>
      <c r="D22" s="25"/>
      <c r="E22" s="24"/>
      <c r="F22" s="24"/>
      <c r="G22" s="24"/>
      <c r="H22" s="92"/>
    </row>
    <row r="23" spans="2:8" x14ac:dyDescent="0.3">
      <c r="B23" s="84"/>
      <c r="C23" s="24"/>
      <c r="D23" s="112" t="str">
        <f>+H4</f>
        <v>Asesorias</v>
      </c>
      <c r="E23" s="26">
        <f>+E4+E6+E9+E18</f>
        <v>55700000</v>
      </c>
      <c r="F23" s="24"/>
      <c r="G23" s="24"/>
      <c r="H23" s="92"/>
    </row>
    <row r="24" spans="2:8" x14ac:dyDescent="0.3">
      <c r="B24" s="84"/>
      <c r="C24" s="24"/>
      <c r="D24" s="112" t="str">
        <f>+H5</f>
        <v>Servicios computacionales</v>
      </c>
      <c r="E24" s="26">
        <f>+E5+E12</f>
        <v>12300000</v>
      </c>
      <c r="F24" s="24"/>
      <c r="G24" s="24"/>
      <c r="H24" s="92"/>
    </row>
    <row r="25" spans="2:8" x14ac:dyDescent="0.3">
      <c r="B25" s="84"/>
      <c r="C25" s="24"/>
      <c r="D25" s="112" t="str">
        <f>+H7</f>
        <v>Compra de Muebles de Oficina, a pagar en 90 días</v>
      </c>
      <c r="E25" s="26">
        <f>+E7</f>
        <v>24350000</v>
      </c>
      <c r="F25" s="24" t="s">
        <v>70</v>
      </c>
      <c r="G25" s="24"/>
      <c r="H25" s="92"/>
    </row>
    <row r="26" spans="2:8" x14ac:dyDescent="0.3">
      <c r="B26" s="84"/>
      <c r="C26" s="24"/>
      <c r="D26" s="112" t="str">
        <f>+H8</f>
        <v>Combustible</v>
      </c>
      <c r="E26" s="26">
        <f>+E8+E10+E19</f>
        <v>33874500</v>
      </c>
      <c r="F26" s="24"/>
      <c r="G26" s="24"/>
      <c r="H26" s="92"/>
    </row>
    <row r="27" spans="2:8" x14ac:dyDescent="0.3">
      <c r="B27" s="84"/>
      <c r="C27" s="24"/>
      <c r="D27" s="112" t="str">
        <f>+H11</f>
        <v>Repuestos</v>
      </c>
      <c r="E27" s="26">
        <f>+E11+E16</f>
        <v>16520000</v>
      </c>
      <c r="F27" s="24"/>
      <c r="G27" s="24"/>
      <c r="H27" s="92"/>
    </row>
    <row r="28" spans="2:8" x14ac:dyDescent="0.3">
      <c r="B28" s="84"/>
      <c r="C28" s="24"/>
      <c r="D28" s="112" t="str">
        <f>+H13</f>
        <v>Insumos computacionales</v>
      </c>
      <c r="E28" s="26">
        <f>+E13</f>
        <v>13450000</v>
      </c>
      <c r="F28" s="24"/>
      <c r="G28" s="24"/>
      <c r="H28" s="92"/>
    </row>
    <row r="29" spans="2:8" x14ac:dyDescent="0.3">
      <c r="B29" s="84"/>
      <c r="C29" s="24"/>
      <c r="D29" s="112" t="str">
        <f>+H14</f>
        <v>Artículos de librería</v>
      </c>
      <c r="E29" s="26">
        <f>+E14+E15</f>
        <v>22000000</v>
      </c>
      <c r="F29" s="24"/>
      <c r="G29" s="24"/>
      <c r="H29" s="92"/>
    </row>
    <row r="30" spans="2:8" x14ac:dyDescent="0.3">
      <c r="B30" s="84"/>
      <c r="C30" s="24"/>
      <c r="D30" s="112" t="str">
        <f>+H17</f>
        <v>Compra de Vehículos a pagar en 90 días</v>
      </c>
      <c r="E30" s="26">
        <f>+E17</f>
        <v>250000000</v>
      </c>
      <c r="F30" s="24" t="s">
        <v>71</v>
      </c>
      <c r="G30" s="24"/>
      <c r="H30" s="92"/>
    </row>
    <row r="31" spans="2:8" ht="15" thickBot="1" x14ac:dyDescent="0.35">
      <c r="B31" s="96"/>
      <c r="C31" s="16"/>
      <c r="D31" s="113"/>
      <c r="E31" s="89">
        <f>SUM(E23:E30)</f>
        <v>428194500</v>
      </c>
      <c r="F31" s="16"/>
      <c r="G31" s="16"/>
      <c r="H31" s="9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showGridLines="0" workbookViewId="0">
      <selection activeCell="E22" sqref="E22"/>
    </sheetView>
  </sheetViews>
  <sheetFormatPr baseColWidth="10" defaultRowHeight="14.4" x14ac:dyDescent="0.3"/>
  <cols>
    <col min="1" max="1" width="9" customWidth="1"/>
    <col min="5" max="5" width="12.33203125" bestFit="1" customWidth="1"/>
  </cols>
  <sheetData>
    <row r="2" spans="2:10" ht="15" thickBot="1" x14ac:dyDescent="0.35"/>
    <row r="3" spans="2:10" x14ac:dyDescent="0.3">
      <c r="B3" s="97" t="s">
        <v>59</v>
      </c>
      <c r="C3" s="98"/>
      <c r="D3" s="98"/>
      <c r="E3" s="98"/>
      <c r="F3" s="98"/>
      <c r="G3" s="99" t="s">
        <v>60</v>
      </c>
      <c r="H3" s="98"/>
      <c r="I3" s="98"/>
      <c r="J3" s="100"/>
    </row>
    <row r="4" spans="2:10" x14ac:dyDescent="0.3">
      <c r="B4" s="84"/>
      <c r="C4" s="24"/>
      <c r="D4" s="24"/>
      <c r="E4" s="24"/>
      <c r="F4" s="24"/>
      <c r="G4" s="24"/>
      <c r="H4" s="24"/>
      <c r="I4" s="24"/>
      <c r="J4" s="92"/>
    </row>
    <row r="5" spans="2:10" s="2" customFormat="1" x14ac:dyDescent="0.3">
      <c r="B5" s="101" t="s">
        <v>2</v>
      </c>
      <c r="C5" s="102" t="s">
        <v>27</v>
      </c>
      <c r="D5" s="102" t="s">
        <v>28</v>
      </c>
      <c r="E5" s="102" t="s">
        <v>29</v>
      </c>
      <c r="F5" s="102"/>
      <c r="G5" s="102" t="s">
        <v>2</v>
      </c>
      <c r="H5" s="102" t="s">
        <v>27</v>
      </c>
      <c r="I5" s="102" t="s">
        <v>28</v>
      </c>
      <c r="J5" s="103" t="s">
        <v>29</v>
      </c>
    </row>
    <row r="6" spans="2:10" x14ac:dyDescent="0.3">
      <c r="B6" s="84" t="str">
        <f>+'Libro de Compras'!D4</f>
        <v>P001</v>
      </c>
      <c r="C6" s="24">
        <f>+'Libro de Compras'!C4-200</f>
        <v>6156541341</v>
      </c>
      <c r="D6" s="104">
        <v>44896</v>
      </c>
      <c r="E6" s="26">
        <v>14500000</v>
      </c>
      <c r="F6" s="24"/>
      <c r="G6" s="24" t="str">
        <f>+B6</f>
        <v>P001</v>
      </c>
      <c r="H6" s="24">
        <f t="shared" ref="H6" si="0">+C6</f>
        <v>6156541341</v>
      </c>
      <c r="I6" s="104">
        <f>+D6</f>
        <v>44896</v>
      </c>
      <c r="J6" s="72">
        <f>+E6</f>
        <v>14500000</v>
      </c>
    </row>
    <row r="7" spans="2:10" x14ac:dyDescent="0.3">
      <c r="B7" s="84" t="str">
        <f>+'Libro de Compras'!D7</f>
        <v>P014</v>
      </c>
      <c r="C7" s="24">
        <f>+'Libro de Compras'!C7-140</f>
        <v>656615475</v>
      </c>
      <c r="D7" s="104">
        <v>44896</v>
      </c>
      <c r="E7" s="26">
        <v>1390000</v>
      </c>
      <c r="F7" s="24"/>
      <c r="G7" s="24" t="str">
        <f>+B9</f>
        <v>P019</v>
      </c>
      <c r="H7" s="24">
        <f t="shared" ref="H7" si="1">+C9</f>
        <v>175169338</v>
      </c>
      <c r="I7" s="104">
        <f>+D9</f>
        <v>44896</v>
      </c>
      <c r="J7" s="72">
        <f>+E9</f>
        <v>8900000</v>
      </c>
    </row>
    <row r="8" spans="2:10" x14ac:dyDescent="0.3">
      <c r="B8" s="84" t="str">
        <f>+'Libro de Compras'!D15</f>
        <v>P012</v>
      </c>
      <c r="C8" s="24">
        <f>+'Libro de Compras'!C15-14</f>
        <v>415168405</v>
      </c>
      <c r="D8" s="104">
        <v>44866</v>
      </c>
      <c r="E8" s="26">
        <v>12300500</v>
      </c>
      <c r="F8" s="24"/>
      <c r="G8" s="24" t="str">
        <f>+'Libro de Compras'!D17</f>
        <v>P015</v>
      </c>
      <c r="H8" s="24">
        <f>+'Libro de Compras'!C17</f>
        <v>467263</v>
      </c>
      <c r="I8" s="104">
        <f>+'Libro de Compras'!B17</f>
        <v>45087</v>
      </c>
      <c r="J8" s="72">
        <f>+'Libro de Compras'!G17</f>
        <v>297500000</v>
      </c>
    </row>
    <row r="9" spans="2:10" x14ac:dyDescent="0.3">
      <c r="B9" s="84" t="str">
        <f>+'Libro de Compras'!D14</f>
        <v>P019</v>
      </c>
      <c r="C9" s="24">
        <f>+'Libro de Compras'!C14-2340</f>
        <v>175169338</v>
      </c>
      <c r="D9" s="104">
        <v>44896</v>
      </c>
      <c r="E9" s="26">
        <v>8900000</v>
      </c>
      <c r="F9" s="24"/>
      <c r="G9" s="24" t="str">
        <f>+'Libro de Compras'!D18</f>
        <v>P001</v>
      </c>
      <c r="H9" s="24">
        <f>+'Libro de Compras'!C18</f>
        <v>6156541741</v>
      </c>
      <c r="I9" s="104">
        <f>+'Libro de Compras'!B18</f>
        <v>45090</v>
      </c>
      <c r="J9" s="72">
        <f>+'Libro de Compras'!G18</f>
        <v>23205000</v>
      </c>
    </row>
    <row r="10" spans="2:10" x14ac:dyDescent="0.3">
      <c r="B10" s="84" t="str">
        <f>+'Libro de Compras'!D6</f>
        <v>P013</v>
      </c>
      <c r="C10" s="24">
        <f>+'Libro de Compras'!C6-14</f>
        <v>637</v>
      </c>
      <c r="D10" s="104">
        <v>44835</v>
      </c>
      <c r="E10" s="26">
        <v>16789000</v>
      </c>
      <c r="F10" s="24"/>
      <c r="G10" s="24" t="str">
        <f>+'Libro de Compras'!D19</f>
        <v>P007</v>
      </c>
      <c r="H10" s="24">
        <f>+'Libro de Compras'!C19</f>
        <v>1716517215</v>
      </c>
      <c r="I10" s="104">
        <f>+'Libro de Compras'!B19</f>
        <v>45095</v>
      </c>
      <c r="J10" s="72">
        <f>+'Libro de Compras'!G19</f>
        <v>7764155</v>
      </c>
    </row>
    <row r="11" spans="2:10" ht="15" thickBot="1" x14ac:dyDescent="0.35">
      <c r="B11" s="84"/>
      <c r="C11" s="24"/>
      <c r="D11" s="24"/>
      <c r="E11" s="5">
        <f>SUM(E6:E10)</f>
        <v>53879500</v>
      </c>
      <c r="F11" s="24"/>
      <c r="G11" s="24"/>
      <c r="H11" s="24"/>
      <c r="I11" s="24"/>
      <c r="J11" s="107">
        <f>SUM(J6:J10)</f>
        <v>351869155</v>
      </c>
    </row>
    <row r="12" spans="2:10" ht="15" thickTop="1" x14ac:dyDescent="0.3">
      <c r="B12" s="84"/>
      <c r="C12" s="24"/>
      <c r="D12" s="24"/>
      <c r="E12" s="24"/>
      <c r="F12" s="24"/>
      <c r="G12" s="24"/>
      <c r="H12" s="24"/>
      <c r="I12" s="24"/>
      <c r="J12" s="92"/>
    </row>
    <row r="13" spans="2:10" x14ac:dyDescent="0.3">
      <c r="B13" s="84"/>
      <c r="C13" s="24"/>
      <c r="D13" s="24"/>
      <c r="E13" s="24"/>
      <c r="F13" s="24"/>
      <c r="G13" s="24"/>
      <c r="H13" s="24"/>
      <c r="I13" s="24"/>
      <c r="J13" s="92"/>
    </row>
    <row r="14" spans="2:10" x14ac:dyDescent="0.3">
      <c r="B14" s="84"/>
      <c r="C14" s="24"/>
      <c r="D14" s="24" t="s">
        <v>21</v>
      </c>
      <c r="E14" s="26">
        <f>+E11</f>
        <v>53879500</v>
      </c>
      <c r="F14" s="24"/>
      <c r="G14" s="24"/>
      <c r="H14" s="24"/>
      <c r="I14" s="24"/>
      <c r="J14" s="92"/>
    </row>
    <row r="15" spans="2:10" x14ac:dyDescent="0.3">
      <c r="B15" s="84"/>
      <c r="C15" s="24"/>
      <c r="D15" s="24" t="s">
        <v>224</v>
      </c>
      <c r="E15" s="26">
        <f>+'Libro de Compras'!G21</f>
        <v>509551455</v>
      </c>
      <c r="F15" s="24"/>
      <c r="G15" s="24"/>
      <c r="H15" s="24"/>
      <c r="I15" s="24"/>
      <c r="J15" s="92"/>
    </row>
    <row r="16" spans="2:10" x14ac:dyDescent="0.3">
      <c r="B16" s="84"/>
      <c r="C16" s="24"/>
      <c r="D16" s="24" t="s">
        <v>225</v>
      </c>
      <c r="E16" s="26">
        <f>-'Comp Egresos'!F21</f>
        <v>-211561800</v>
      </c>
      <c r="F16" s="24"/>
      <c r="G16" s="24"/>
      <c r="H16" s="24"/>
      <c r="I16" s="24"/>
      <c r="J16" s="92"/>
    </row>
    <row r="17" spans="2:10" ht="15" thickBot="1" x14ac:dyDescent="0.35">
      <c r="B17" s="84"/>
      <c r="C17" s="24"/>
      <c r="D17" s="24" t="s">
        <v>223</v>
      </c>
      <c r="E17" s="5">
        <f>SUM(E14:E16)</f>
        <v>351869155</v>
      </c>
      <c r="F17" s="24"/>
      <c r="G17" s="24"/>
      <c r="H17" s="24"/>
      <c r="I17" s="24"/>
      <c r="J17" s="92"/>
    </row>
    <row r="18" spans="2:10" ht="15.6" thickTop="1" thickBot="1" x14ac:dyDescent="0.35">
      <c r="B18" s="96"/>
      <c r="C18" s="16"/>
      <c r="D18" s="16"/>
      <c r="E18" s="18">
        <f>+E17-J11</f>
        <v>0</v>
      </c>
      <c r="F18" s="16"/>
      <c r="G18" s="16"/>
      <c r="H18" s="16"/>
      <c r="I18" s="16"/>
      <c r="J18" s="9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showGridLines="0" workbookViewId="0">
      <selection activeCell="F19" sqref="F19"/>
    </sheetView>
  </sheetViews>
  <sheetFormatPr baseColWidth="10" defaultRowHeight="14.4" x14ac:dyDescent="0.3"/>
  <cols>
    <col min="2" max="2" width="27.88671875" bestFit="1" customWidth="1"/>
    <col min="3" max="3" width="16.109375" bestFit="1" customWidth="1"/>
  </cols>
  <sheetData>
    <row r="2" spans="1:4" ht="15" thickBot="1" x14ac:dyDescent="0.35"/>
    <row r="3" spans="1:4" x14ac:dyDescent="0.3">
      <c r="A3" s="114"/>
      <c r="B3" s="98" t="s">
        <v>112</v>
      </c>
      <c r="C3" s="98"/>
      <c r="D3" s="100"/>
    </row>
    <row r="4" spans="1:4" x14ac:dyDescent="0.3">
      <c r="A4" s="84"/>
      <c r="B4" s="24"/>
      <c r="C4" s="24"/>
      <c r="D4" s="92"/>
    </row>
    <row r="5" spans="1:4" x14ac:dyDescent="0.3">
      <c r="A5" s="84"/>
      <c r="B5" s="24" t="s">
        <v>113</v>
      </c>
      <c r="C5" s="115">
        <v>290000000</v>
      </c>
      <c r="D5" s="92" t="s">
        <v>121</v>
      </c>
    </row>
    <row r="6" spans="1:4" x14ac:dyDescent="0.3">
      <c r="A6" s="84"/>
      <c r="B6" s="24" t="s">
        <v>114</v>
      </c>
      <c r="C6" s="115">
        <v>19000000</v>
      </c>
      <c r="D6" s="92" t="s">
        <v>121</v>
      </c>
    </row>
    <row r="7" spans="1:4" x14ac:dyDescent="0.3">
      <c r="A7" s="84"/>
      <c r="B7" s="24" t="s">
        <v>115</v>
      </c>
      <c r="C7" s="115">
        <v>15000000</v>
      </c>
      <c r="D7" s="92" t="s">
        <v>121</v>
      </c>
    </row>
    <row r="8" spans="1:4" ht="15" thickBot="1" x14ac:dyDescent="0.35">
      <c r="A8" s="84"/>
      <c r="B8" s="24" t="s">
        <v>116</v>
      </c>
      <c r="C8" s="43">
        <f>SUM(C5:C7)</f>
        <v>324000000</v>
      </c>
      <c r="D8" s="92"/>
    </row>
    <row r="9" spans="1:4" ht="15" thickTop="1" x14ac:dyDescent="0.3">
      <c r="A9" s="84" t="s">
        <v>134</v>
      </c>
      <c r="B9" s="24" t="s">
        <v>132</v>
      </c>
      <c r="C9" s="115">
        <v>-32900000</v>
      </c>
      <c r="D9" s="92" t="s">
        <v>89</v>
      </c>
    </row>
    <row r="10" spans="1:4" x14ac:dyDescent="0.3">
      <c r="A10" s="84"/>
      <c r="B10" s="24" t="s">
        <v>133</v>
      </c>
      <c r="C10" s="115">
        <v>-21300000</v>
      </c>
      <c r="D10" s="92" t="s">
        <v>89</v>
      </c>
    </row>
    <row r="11" spans="1:4" ht="15" thickBot="1" x14ac:dyDescent="0.35">
      <c r="A11" s="84"/>
      <c r="B11" s="24" t="s">
        <v>117</v>
      </c>
      <c r="C11" s="43">
        <f>+C8+C9+C10</f>
        <v>269800000</v>
      </c>
      <c r="D11" s="92"/>
    </row>
    <row r="12" spans="1:4" ht="15.6" thickTop="1" thickBot="1" x14ac:dyDescent="0.35">
      <c r="A12" s="96"/>
      <c r="B12" s="16"/>
      <c r="C12" s="16"/>
      <c r="D12" s="94"/>
    </row>
    <row r="13" spans="1:4" hidden="1" x14ac:dyDescent="0.3">
      <c r="A13" s="84"/>
      <c r="B13" s="24"/>
      <c r="C13" s="24"/>
      <c r="D13" s="92"/>
    </row>
    <row r="14" spans="1:4" hidden="1" x14ac:dyDescent="0.3">
      <c r="A14" s="84"/>
      <c r="B14" s="24" t="s">
        <v>119</v>
      </c>
      <c r="C14" s="116">
        <f>((+C5+C6)/6)</f>
        <v>51500000</v>
      </c>
      <c r="D14" s="92"/>
    </row>
    <row r="15" spans="1:4" ht="15" hidden="1" thickBot="1" x14ac:dyDescent="0.35">
      <c r="A15" s="96"/>
      <c r="B15" s="16" t="s">
        <v>118</v>
      </c>
      <c r="C15" s="117">
        <f>+C14/30*1.75*6</f>
        <v>18025000</v>
      </c>
      <c r="D15" s="94" t="s">
        <v>121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C27" sqref="C27"/>
    </sheetView>
  </sheetViews>
  <sheetFormatPr baseColWidth="10" defaultRowHeight="14.4" x14ac:dyDescent="0.3"/>
  <cols>
    <col min="2" max="2" width="18.33203125" customWidth="1"/>
    <col min="3" max="3" width="7.33203125" bestFit="1" customWidth="1"/>
    <col min="4" max="4" width="13.109375" bestFit="1" customWidth="1"/>
    <col min="5" max="5" width="16.77734375" hidden="1" customWidth="1"/>
    <col min="6" max="6" width="16.77734375" customWidth="1"/>
    <col min="7" max="7" width="16.77734375" hidden="1" customWidth="1"/>
    <col min="8" max="8" width="8.88671875" style="3" customWidth="1"/>
    <col min="9" max="9" width="13.109375" bestFit="1" customWidth="1"/>
  </cols>
  <sheetData>
    <row r="1" spans="2:10" ht="15" thickBot="1" x14ac:dyDescent="0.35"/>
    <row r="2" spans="2:10" s="2" customFormat="1" x14ac:dyDescent="0.3">
      <c r="B2" s="68"/>
      <c r="C2" s="69"/>
      <c r="D2" s="69" t="s">
        <v>99</v>
      </c>
      <c r="E2" s="69" t="s">
        <v>22</v>
      </c>
      <c r="F2" s="69" t="s">
        <v>23</v>
      </c>
      <c r="G2" s="69" t="s">
        <v>24</v>
      </c>
      <c r="H2" s="69" t="s">
        <v>25</v>
      </c>
      <c r="I2" s="70" t="s">
        <v>25</v>
      </c>
    </row>
    <row r="3" spans="2:10" hidden="1" x14ac:dyDescent="0.3">
      <c r="B3" s="84" t="s">
        <v>21</v>
      </c>
      <c r="C3" s="24"/>
      <c r="D3" s="24"/>
      <c r="E3" s="24"/>
      <c r="F3" s="24"/>
      <c r="G3" s="24"/>
      <c r="H3" s="25"/>
      <c r="I3" s="92"/>
    </row>
    <row r="4" spans="2:10" hidden="1" x14ac:dyDescent="0.3">
      <c r="B4" s="84"/>
      <c r="C4" s="24"/>
      <c r="D4" s="24"/>
      <c r="E4" s="24"/>
      <c r="F4" s="24"/>
      <c r="G4" s="24"/>
      <c r="H4" s="25"/>
      <c r="I4" s="92"/>
    </row>
    <row r="5" spans="2:10" x14ac:dyDescent="0.3">
      <c r="B5" s="84" t="s">
        <v>61</v>
      </c>
      <c r="C5" s="24"/>
      <c r="D5" s="24" t="s">
        <v>141</v>
      </c>
      <c r="E5" s="24"/>
      <c r="F5" s="26">
        <f>+'Aux Proveedores'!E7</f>
        <v>1390000</v>
      </c>
      <c r="G5" s="24"/>
      <c r="H5" s="120" t="str">
        <f>+'Aux Proveedores'!G7</f>
        <v>P019</v>
      </c>
      <c r="I5" s="92" t="s">
        <v>65</v>
      </c>
    </row>
    <row r="6" spans="2:10" x14ac:dyDescent="0.3">
      <c r="B6" s="84" t="s">
        <v>61</v>
      </c>
      <c r="C6" s="24"/>
      <c r="D6" s="24" t="s">
        <v>141</v>
      </c>
      <c r="E6" s="24"/>
      <c r="F6" s="26">
        <f>+'Aux Proveedores'!E8</f>
        <v>12300500</v>
      </c>
      <c r="G6" s="24"/>
      <c r="H6" s="120" t="str">
        <f>+'Aux Proveedores'!G8</f>
        <v>P015</v>
      </c>
      <c r="I6" s="92" t="s">
        <v>66</v>
      </c>
    </row>
    <row r="7" spans="2:10" ht="15" thickBot="1" x14ac:dyDescent="0.35">
      <c r="B7" s="96" t="s">
        <v>61</v>
      </c>
      <c r="C7" s="16"/>
      <c r="D7" s="16" t="s">
        <v>141</v>
      </c>
      <c r="E7" s="16"/>
      <c r="F7" s="18">
        <f>+'Aux Proveedores'!E10</f>
        <v>16789000</v>
      </c>
      <c r="G7" s="16"/>
      <c r="H7" s="118" t="str">
        <f>+'Aux Proveedores'!G9</f>
        <v>P001</v>
      </c>
      <c r="I7" s="94" t="s">
        <v>67</v>
      </c>
      <c r="J7" s="18">
        <f>+F5+F6+F7</f>
        <v>30479500</v>
      </c>
    </row>
    <row r="8" spans="2:10" x14ac:dyDescent="0.3">
      <c r="B8" s="84" t="s">
        <v>61</v>
      </c>
      <c r="C8" s="24"/>
      <c r="D8" s="24" t="s">
        <v>142</v>
      </c>
      <c r="E8" s="24"/>
      <c r="F8" s="26">
        <f>+'Libro de Compras'!G4</f>
        <v>18088000</v>
      </c>
      <c r="G8" s="24"/>
      <c r="H8" s="25" t="str">
        <f>+'Libro de Compras'!D4</f>
        <v>P001</v>
      </c>
      <c r="I8" s="92">
        <f>+'Libro de Compras'!C4</f>
        <v>6156541541</v>
      </c>
    </row>
    <row r="9" spans="2:10" ht="15" thickBot="1" x14ac:dyDescent="0.35">
      <c r="B9" s="96" t="s">
        <v>61</v>
      </c>
      <c r="C9" s="16"/>
      <c r="D9" s="16" t="s">
        <v>142</v>
      </c>
      <c r="E9" s="16"/>
      <c r="F9" s="18">
        <f>+'Libro de Compras'!G5</f>
        <v>6902000</v>
      </c>
      <c r="G9" s="16"/>
      <c r="H9" s="17" t="str">
        <f>+'Libro de Compras'!D5</f>
        <v>P002</v>
      </c>
      <c r="I9" s="94">
        <f>+'Libro de Compras'!C5</f>
        <v>564</v>
      </c>
      <c r="J9" s="18">
        <f>+F8+F9</f>
        <v>24990000</v>
      </c>
    </row>
    <row r="10" spans="2:10" ht="15" thickBot="1" x14ac:dyDescent="0.35">
      <c r="B10" s="121" t="s">
        <v>61</v>
      </c>
      <c r="C10" s="51"/>
      <c r="D10" s="51" t="s">
        <v>143</v>
      </c>
      <c r="E10" s="51"/>
      <c r="F10" s="52">
        <f>+'Libro de Compras'!G6</f>
        <v>2975000</v>
      </c>
      <c r="G10" s="51"/>
      <c r="H10" s="119" t="str">
        <f>+'Libro de Compras'!D6</f>
        <v>P013</v>
      </c>
      <c r="I10" s="122">
        <f>+'Libro de Compras'!C6</f>
        <v>651</v>
      </c>
      <c r="J10" s="52">
        <f>+F10</f>
        <v>2975000</v>
      </c>
    </row>
    <row r="11" spans="2:10" ht="15" thickBot="1" x14ac:dyDescent="0.35">
      <c r="B11" s="121" t="s">
        <v>61</v>
      </c>
      <c r="C11" s="51"/>
      <c r="D11" s="51" t="s">
        <v>144</v>
      </c>
      <c r="E11" s="51"/>
      <c r="F11" s="52">
        <f>+'Libro de Compras'!G7</f>
        <v>28976500</v>
      </c>
      <c r="G11" s="51"/>
      <c r="H11" s="119" t="str">
        <f>+'Libro de Compras'!D7</f>
        <v>P014</v>
      </c>
      <c r="I11" s="122">
        <f>+'Libro de Compras'!C7</f>
        <v>656615615</v>
      </c>
      <c r="J11" s="52">
        <f>+F11</f>
        <v>28976500</v>
      </c>
    </row>
    <row r="12" spans="2:10" x14ac:dyDescent="0.3">
      <c r="B12" s="84" t="s">
        <v>61</v>
      </c>
      <c r="C12" s="24"/>
      <c r="D12" s="24" t="s">
        <v>145</v>
      </c>
      <c r="E12" s="24"/>
      <c r="F12" s="26">
        <f>+'Libro de Compras'!G8</f>
        <v>25525500</v>
      </c>
      <c r="G12" s="24"/>
      <c r="H12" s="25" t="str">
        <f>+'Libro de Compras'!D8</f>
        <v>P015</v>
      </c>
      <c r="I12" s="92">
        <f>+'Libro de Compras'!C8</f>
        <v>465409</v>
      </c>
    </row>
    <row r="13" spans="2:10" ht="15" thickBot="1" x14ac:dyDescent="0.35">
      <c r="B13" s="96" t="s">
        <v>61</v>
      </c>
      <c r="C13" s="16"/>
      <c r="D13" s="16" t="s">
        <v>145</v>
      </c>
      <c r="E13" s="16"/>
      <c r="F13" s="18">
        <f>+'Libro de Compras'!G9</f>
        <v>22015000</v>
      </c>
      <c r="G13" s="16"/>
      <c r="H13" s="17" t="str">
        <f>+'Libro de Compras'!D9</f>
        <v>P001</v>
      </c>
      <c r="I13" s="94">
        <f>+'Libro de Compras'!C9</f>
        <v>6156541556</v>
      </c>
      <c r="J13" s="18">
        <f>+F12+F13</f>
        <v>47540500</v>
      </c>
    </row>
    <row r="14" spans="2:10" x14ac:dyDescent="0.3">
      <c r="B14" s="84" t="s">
        <v>61</v>
      </c>
      <c r="C14" s="24"/>
      <c r="D14" s="24" t="s">
        <v>146</v>
      </c>
      <c r="E14" s="24"/>
      <c r="F14" s="26">
        <f>+'Libro de Compras'!G10</f>
        <v>7021000</v>
      </c>
      <c r="G14" s="24"/>
      <c r="H14" s="25" t="str">
        <f>+'Libro de Compras'!D10</f>
        <v>P007</v>
      </c>
      <c r="I14" s="92">
        <f>+'Libro de Compras'!C10</f>
        <v>1716514651</v>
      </c>
    </row>
    <row r="15" spans="2:10" x14ac:dyDescent="0.3">
      <c r="B15" s="84" t="s">
        <v>61</v>
      </c>
      <c r="C15" s="24"/>
      <c r="D15" s="24" t="s">
        <v>146</v>
      </c>
      <c r="E15" s="24"/>
      <c r="F15" s="26">
        <f>+'Libro de Compras'!G11</f>
        <v>13708800</v>
      </c>
      <c r="G15" s="24"/>
      <c r="H15" s="25" t="str">
        <f>+'Libro de Compras'!D11</f>
        <v>P008</v>
      </c>
      <c r="I15" s="92">
        <f>+'Libro de Compras'!C11</f>
        <v>15161</v>
      </c>
    </row>
    <row r="16" spans="2:10" x14ac:dyDescent="0.3">
      <c r="B16" s="84" t="s">
        <v>61</v>
      </c>
      <c r="C16" s="24"/>
      <c r="D16" s="24" t="s">
        <v>146</v>
      </c>
      <c r="E16" s="24"/>
      <c r="F16" s="26">
        <f>+'Libro de Compras'!G12</f>
        <v>7735000</v>
      </c>
      <c r="G16" s="24"/>
      <c r="H16" s="25" t="str">
        <f>+'Libro de Compras'!D12</f>
        <v>P009</v>
      </c>
      <c r="I16" s="92">
        <f>+'Libro de Compras'!C12</f>
        <v>56414132</v>
      </c>
    </row>
    <row r="17" spans="2:10" x14ac:dyDescent="0.3">
      <c r="B17" s="84" t="s">
        <v>61</v>
      </c>
      <c r="C17" s="24"/>
      <c r="D17" s="24" t="s">
        <v>146</v>
      </c>
      <c r="E17" s="24"/>
      <c r="F17" s="26">
        <f>+'Libro de Compras'!G13</f>
        <v>16005500</v>
      </c>
      <c r="G17" s="24"/>
      <c r="H17" s="25" t="str">
        <f>+'Libro de Compras'!D13</f>
        <v>P018</v>
      </c>
      <c r="I17" s="92">
        <f>+'Libro de Compras'!C13</f>
        <v>28207066</v>
      </c>
    </row>
    <row r="18" spans="2:10" x14ac:dyDescent="0.3">
      <c r="B18" s="84" t="s">
        <v>61</v>
      </c>
      <c r="C18" s="24"/>
      <c r="D18" s="24" t="s">
        <v>146</v>
      </c>
      <c r="E18" s="24"/>
      <c r="F18" s="26">
        <f>+'Libro de Compras'!G14</f>
        <v>14280000</v>
      </c>
      <c r="G18" s="24"/>
      <c r="H18" s="25" t="str">
        <f>+'Libro de Compras'!D14</f>
        <v>P019</v>
      </c>
      <c r="I18" s="92">
        <f>+'Libro de Compras'!C14</f>
        <v>175171678</v>
      </c>
    </row>
    <row r="19" spans="2:10" x14ac:dyDescent="0.3">
      <c r="B19" s="84" t="s">
        <v>61</v>
      </c>
      <c r="C19" s="24"/>
      <c r="D19" s="24" t="s">
        <v>146</v>
      </c>
      <c r="E19" s="24"/>
      <c r="F19" s="26">
        <f>+'Libro de Compras'!G15</f>
        <v>11900000</v>
      </c>
      <c r="G19" s="24"/>
      <c r="H19" s="25" t="str">
        <f>+'Libro de Compras'!D15</f>
        <v>P012</v>
      </c>
      <c r="I19" s="92">
        <f>+'Libro de Compras'!C15</f>
        <v>415168419</v>
      </c>
    </row>
    <row r="20" spans="2:10" ht="15" thickBot="1" x14ac:dyDescent="0.35">
      <c r="B20" s="96" t="s">
        <v>61</v>
      </c>
      <c r="C20" s="16"/>
      <c r="D20" s="16" t="s">
        <v>146</v>
      </c>
      <c r="E20" s="16"/>
      <c r="F20" s="18">
        <f>+'Libro de Compras'!G16</f>
        <v>5950000</v>
      </c>
      <c r="G20" s="16"/>
      <c r="H20" s="17" t="str">
        <f>+'Libro de Compras'!D16</f>
        <v>P034</v>
      </c>
      <c r="I20" s="94">
        <f>+'Libro de Compras'!C16</f>
        <v>511855</v>
      </c>
      <c r="J20" s="18">
        <f>+F14+F15+F16+F17+F18+F19+F20</f>
        <v>76600300</v>
      </c>
    </row>
    <row r="21" spans="2:10" ht="15" thickBot="1" x14ac:dyDescent="0.35">
      <c r="B21" s="84"/>
      <c r="C21" s="24"/>
      <c r="D21" s="24"/>
      <c r="E21" s="24"/>
      <c r="F21" s="53">
        <f>SUM(F5:F20)</f>
        <v>211561800</v>
      </c>
      <c r="G21" s="24"/>
      <c r="H21" s="25"/>
      <c r="I21" s="92"/>
    </row>
    <row r="22" spans="2:10" ht="15" thickTop="1" x14ac:dyDescent="0.3">
      <c r="B22" s="84"/>
      <c r="C22" s="24"/>
      <c r="D22" s="24"/>
      <c r="E22" s="24"/>
      <c r="F22" s="24"/>
      <c r="G22" s="24"/>
      <c r="H22" s="25"/>
      <c r="I22" s="92"/>
    </row>
    <row r="23" spans="2:10" x14ac:dyDescent="0.3">
      <c r="B23" s="84" t="s">
        <v>92</v>
      </c>
      <c r="C23" s="24" t="s">
        <v>93</v>
      </c>
      <c r="D23" s="24" t="s">
        <v>94</v>
      </c>
      <c r="E23" s="24"/>
      <c r="F23" s="26">
        <f>+'Libro Ventas'!M4</f>
        <v>2809800</v>
      </c>
      <c r="G23" s="24"/>
      <c r="H23" s="25"/>
      <c r="I23" s="92"/>
    </row>
    <row r="24" spans="2:10" x14ac:dyDescent="0.3">
      <c r="B24" s="84" t="s">
        <v>92</v>
      </c>
      <c r="C24" s="24" t="s">
        <v>94</v>
      </c>
      <c r="D24" s="24" t="s">
        <v>95</v>
      </c>
      <c r="E24" s="24"/>
      <c r="F24" s="26">
        <f>+'Libro Ventas'!M6</f>
        <v>2706400</v>
      </c>
      <c r="G24" s="24"/>
      <c r="H24" s="25"/>
      <c r="I24" s="92"/>
    </row>
    <row r="25" spans="2:10" x14ac:dyDescent="0.3">
      <c r="B25" s="84" t="s">
        <v>92</v>
      </c>
      <c r="C25" s="24" t="s">
        <v>95</v>
      </c>
      <c r="D25" s="24" t="s">
        <v>96</v>
      </c>
      <c r="E25" s="24"/>
      <c r="F25" s="26">
        <f>+'Libro Ventas'!M9</f>
        <v>8948450</v>
      </c>
      <c r="G25" s="24"/>
      <c r="H25" s="25"/>
      <c r="I25" s="92"/>
    </row>
    <row r="26" spans="2:10" x14ac:dyDescent="0.3">
      <c r="B26" s="84" t="s">
        <v>92</v>
      </c>
      <c r="C26" s="24" t="s">
        <v>96</v>
      </c>
      <c r="D26" s="24" t="s">
        <v>97</v>
      </c>
      <c r="E26" s="24"/>
      <c r="F26" s="26">
        <f>+'Libro Ventas'!M12</f>
        <v>11625398.100000001</v>
      </c>
      <c r="G26" s="24"/>
      <c r="H26" s="25"/>
      <c r="I26" s="92"/>
    </row>
    <row r="27" spans="2:10" x14ac:dyDescent="0.3">
      <c r="B27" s="84" t="s">
        <v>92</v>
      </c>
      <c r="C27" s="24" t="s">
        <v>97</v>
      </c>
      <c r="D27" s="24" t="s">
        <v>98</v>
      </c>
      <c r="E27" s="24"/>
      <c r="F27" s="26">
        <f>+'Libro Ventas'!M15</f>
        <v>2848909</v>
      </c>
      <c r="G27" s="24"/>
      <c r="H27" s="25"/>
      <c r="I27" s="92"/>
    </row>
    <row r="28" spans="2:10" ht="15" thickBot="1" x14ac:dyDescent="0.35">
      <c r="B28" s="84"/>
      <c r="C28" s="24"/>
      <c r="D28" s="24"/>
      <c r="E28" s="24"/>
      <c r="F28" s="5">
        <f>SUM(F23:F27)</f>
        <v>28938957.100000001</v>
      </c>
      <c r="G28" s="24"/>
      <c r="H28" s="25"/>
      <c r="I28" s="92"/>
    </row>
    <row r="29" spans="2:10" ht="15" thickTop="1" x14ac:dyDescent="0.3">
      <c r="B29" s="84"/>
      <c r="C29" s="24"/>
      <c r="D29" s="24"/>
      <c r="E29" s="24"/>
      <c r="F29" s="24"/>
      <c r="G29" s="24"/>
      <c r="H29" s="25"/>
      <c r="I29" s="92"/>
    </row>
    <row r="30" spans="2:10" ht="15" thickBot="1" x14ac:dyDescent="0.35">
      <c r="B30" s="96" t="s">
        <v>120</v>
      </c>
      <c r="C30" s="16"/>
      <c r="D30" s="16"/>
      <c r="E30" s="16"/>
      <c r="F30" s="89">
        <f>+'Costos de Rem.'!C11</f>
        <v>269800000</v>
      </c>
      <c r="G30" s="16"/>
      <c r="H30" s="17"/>
      <c r="I30" s="94"/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69"/>
  <sheetViews>
    <sheetView showGridLines="0" zoomScale="90" zoomScaleNormal="90" workbookViewId="0">
      <selection activeCell="C149" sqref="C149:P164"/>
    </sheetView>
  </sheetViews>
  <sheetFormatPr baseColWidth="10" defaultColWidth="11.21875" defaultRowHeight="14.4" x14ac:dyDescent="0.3"/>
  <cols>
    <col min="1" max="1" width="12.6640625" style="3" bestFit="1" customWidth="1"/>
    <col min="2" max="2" width="5.6640625" style="39" customWidth="1"/>
    <col min="3" max="4" width="13.44140625" customWidth="1"/>
    <col min="5" max="6" width="5.6640625" style="40" customWidth="1"/>
    <col min="7" max="7" width="14.88671875" customWidth="1"/>
    <col min="8" max="8" width="13.44140625" customWidth="1"/>
    <col min="9" max="10" width="5.6640625" style="40" customWidth="1"/>
    <col min="11" max="12" width="13.44140625" customWidth="1"/>
    <col min="13" max="13" width="5.6640625" style="39" customWidth="1"/>
    <col min="14" max="14" width="5.6640625" style="40" customWidth="1"/>
    <col min="15" max="15" width="13.44140625" customWidth="1"/>
    <col min="16" max="16" width="14.33203125" bestFit="1" customWidth="1"/>
    <col min="17" max="17" width="5.6640625" style="40" customWidth="1"/>
    <col min="18" max="18" width="5.6640625" style="39" customWidth="1"/>
    <col min="19" max="20" width="13.44140625" customWidth="1"/>
    <col min="21" max="21" width="5.6640625" style="40" customWidth="1"/>
    <col min="24" max="24" width="13" bestFit="1" customWidth="1"/>
    <col min="25" max="25" width="17.5546875" customWidth="1"/>
    <col min="27" max="27" width="14.88671875" bestFit="1" customWidth="1"/>
    <col min="28" max="28" width="14.44140625" customWidth="1"/>
    <col min="29" max="29" width="21.6640625" customWidth="1"/>
    <col min="30" max="30" width="11" bestFit="1" customWidth="1"/>
    <col min="31" max="33" width="10.88671875" customWidth="1"/>
  </cols>
  <sheetData>
    <row r="2" spans="1:33" ht="15" thickBot="1" x14ac:dyDescent="0.35">
      <c r="V2" s="38"/>
    </row>
    <row r="3" spans="1:33" ht="15" thickBot="1" x14ac:dyDescent="0.35">
      <c r="A3" s="68"/>
      <c r="B3" s="123"/>
      <c r="C3" s="194" t="s">
        <v>33</v>
      </c>
      <c r="D3" s="194"/>
      <c r="E3" s="124"/>
      <c r="F3" s="124"/>
      <c r="G3" s="194" t="s">
        <v>52</v>
      </c>
      <c r="H3" s="194"/>
      <c r="I3" s="125"/>
      <c r="J3" s="124"/>
      <c r="K3" s="194" t="s">
        <v>63</v>
      </c>
      <c r="L3" s="194"/>
      <c r="M3" s="126"/>
      <c r="N3" s="124"/>
      <c r="O3" s="194" t="s">
        <v>101</v>
      </c>
      <c r="P3" s="194"/>
      <c r="Q3" s="124"/>
      <c r="R3" s="126"/>
      <c r="S3" s="194" t="s">
        <v>102</v>
      </c>
      <c r="T3" s="194"/>
      <c r="U3" s="127"/>
      <c r="V3" s="38"/>
      <c r="X3" s="192" t="s">
        <v>104</v>
      </c>
      <c r="Y3" s="193"/>
      <c r="Z3" s="193"/>
      <c r="AA3" s="193"/>
      <c r="AB3" s="193"/>
      <c r="AC3" s="193"/>
      <c r="AD3" s="193"/>
      <c r="AE3" s="98"/>
      <c r="AF3" s="98"/>
      <c r="AG3" s="100"/>
    </row>
    <row r="4" spans="1:33" x14ac:dyDescent="0.3">
      <c r="A4" s="128" t="s">
        <v>87</v>
      </c>
      <c r="B4" s="129"/>
      <c r="C4" s="47">
        <f>+'Aux Clientes'!E11</f>
        <v>108960140</v>
      </c>
      <c r="D4" s="29"/>
      <c r="E4" s="65"/>
      <c r="F4" s="65"/>
      <c r="G4" s="30"/>
      <c r="H4" s="26">
        <v>0</v>
      </c>
      <c r="I4" s="41"/>
      <c r="J4" s="65"/>
      <c r="K4" s="30"/>
      <c r="L4" s="26">
        <v>0</v>
      </c>
      <c r="M4" s="54"/>
      <c r="N4" s="65"/>
      <c r="O4" s="30"/>
      <c r="P4" s="130">
        <v>335000000</v>
      </c>
      <c r="Q4" s="65"/>
      <c r="R4" s="54"/>
      <c r="S4" s="30"/>
      <c r="T4" s="130">
        <f>-P.P.E.!J11-'Ptmo Banco'!E5+156000000+70080640</f>
        <v>191161195.55555555</v>
      </c>
      <c r="U4" s="131"/>
      <c r="V4" s="38"/>
      <c r="X4" s="84" t="s">
        <v>245</v>
      </c>
      <c r="Y4" s="24"/>
      <c r="Z4" s="24"/>
      <c r="AA4" s="130">
        <v>156000000</v>
      </c>
      <c r="AB4" s="24"/>
      <c r="AC4" s="24"/>
      <c r="AD4" s="24"/>
      <c r="AE4" s="24"/>
      <c r="AF4" s="24"/>
      <c r="AG4" s="92"/>
    </row>
    <row r="5" spans="1:33" x14ac:dyDescent="0.3">
      <c r="A5" s="132">
        <v>44927</v>
      </c>
      <c r="B5" s="54" t="s">
        <v>75</v>
      </c>
      <c r="C5" s="31">
        <f>+'Libro Ventas'!H3+'Libro Ventas'!H4</f>
        <v>38532200</v>
      </c>
      <c r="D5" s="26">
        <f>+'Comp Ingresos'!H6</f>
        <v>41126400</v>
      </c>
      <c r="E5" s="133" t="s">
        <v>106</v>
      </c>
      <c r="F5" s="134"/>
      <c r="G5" s="31"/>
      <c r="H5" s="26">
        <f>+'Libro Ventas'!E3+'Libro Ventas'!E4</f>
        <v>32380000</v>
      </c>
      <c r="I5" s="54" t="str">
        <f>+B5</f>
        <v>CTV 1</v>
      </c>
      <c r="J5" s="133" t="s">
        <v>123</v>
      </c>
      <c r="K5" s="31">
        <f>+L5</f>
        <v>6152200</v>
      </c>
      <c r="L5" s="26">
        <f>+'Libro Ventas'!J4</f>
        <v>6152200</v>
      </c>
      <c r="M5" s="54" t="str">
        <f>+I5</f>
        <v>CTV 1</v>
      </c>
      <c r="N5" s="65"/>
      <c r="O5" s="31"/>
      <c r="P5" s="26"/>
      <c r="Q5" s="65"/>
      <c r="R5" s="54"/>
      <c r="S5" s="31"/>
      <c r="T5" s="26"/>
      <c r="U5" s="131"/>
      <c r="V5" s="38"/>
      <c r="X5" s="84" t="s">
        <v>105</v>
      </c>
      <c r="Y5" s="24" t="str">
        <f>+'Comp Ingresos'!F6</f>
        <v>C019</v>
      </c>
      <c r="Z5" s="146">
        <f>+'Comp Ingresos'!A6</f>
        <v>44927</v>
      </c>
      <c r="AA5" s="31">
        <f>+'Comp Ingresos'!C6</f>
        <v>41126400</v>
      </c>
      <c r="AB5" s="26">
        <f>+'Comp Egresos'!F5</f>
        <v>1390000</v>
      </c>
      <c r="AC5" s="26" t="str">
        <f>+'Comp Egresos'!H5</f>
        <v>P019</v>
      </c>
      <c r="AD5" s="24"/>
      <c r="AE5" s="24"/>
      <c r="AF5" s="24"/>
      <c r="AG5" s="92"/>
    </row>
    <row r="6" spans="1:33" x14ac:dyDescent="0.3">
      <c r="A6" s="132">
        <v>44958</v>
      </c>
      <c r="B6" s="54" t="s">
        <v>76</v>
      </c>
      <c r="C6" s="31">
        <f>+'Libro Ventas'!H5+'Libro Ventas'!H6</f>
        <v>58307300</v>
      </c>
      <c r="D6" s="26">
        <f>+'Comp Ingresos'!H10</f>
        <v>72434840</v>
      </c>
      <c r="E6" s="133" t="s">
        <v>107</v>
      </c>
      <c r="F6" s="65"/>
      <c r="G6" s="28"/>
      <c r="H6" s="31">
        <f>+'Libro Ventas'!G5+'Libro Ventas'!E6</f>
        <v>51530000</v>
      </c>
      <c r="I6" s="54" t="str">
        <f t="shared" ref="I6:I10" si="0">+B6</f>
        <v>CTV 2</v>
      </c>
      <c r="J6" s="133" t="s">
        <v>125</v>
      </c>
      <c r="K6" s="31">
        <f t="shared" ref="K6:K9" si="1">+L6</f>
        <v>6777300</v>
      </c>
      <c r="L6" s="26">
        <f>+'Libro Ventas'!J6</f>
        <v>6777300</v>
      </c>
      <c r="M6" s="54" t="str">
        <f t="shared" ref="M6:M10" si="2">+I6</f>
        <v>CTV 2</v>
      </c>
      <c r="N6" s="65"/>
      <c r="O6" s="28"/>
      <c r="P6" s="24"/>
      <c r="Q6" s="65"/>
      <c r="R6" s="54"/>
      <c r="S6" s="28"/>
      <c r="T6" s="24"/>
      <c r="U6" s="131"/>
      <c r="V6" s="38"/>
      <c r="X6" s="84"/>
      <c r="Y6" s="24" t="str">
        <f>+'Comp Ingresos'!F7</f>
        <v>C002</v>
      </c>
      <c r="Z6" s="146">
        <f>+'Comp Ingresos'!A7</f>
        <v>44958</v>
      </c>
      <c r="AA6" s="31">
        <f>+'Comp Ingresos'!C7</f>
        <v>16012640</v>
      </c>
      <c r="AB6" s="26">
        <f>+'Comp Egresos'!F6</f>
        <v>12300500</v>
      </c>
      <c r="AC6" s="26" t="str">
        <f>+'Comp Egresos'!H6</f>
        <v>P015</v>
      </c>
      <c r="AD6" s="24"/>
      <c r="AE6" s="24"/>
      <c r="AF6" s="24"/>
      <c r="AG6" s="92"/>
    </row>
    <row r="7" spans="1:33" x14ac:dyDescent="0.3">
      <c r="A7" s="132">
        <v>44986</v>
      </c>
      <c r="B7" s="54" t="s">
        <v>77</v>
      </c>
      <c r="C7" s="31">
        <f>+'Libro Ventas'!H7+'Libro Ventas'!H8+'Libro Ventas'!H9</f>
        <v>100073050</v>
      </c>
      <c r="D7" s="26">
        <f>+'Comp Ingresos'!H14</f>
        <v>116153200</v>
      </c>
      <c r="E7" s="133" t="s">
        <v>108</v>
      </c>
      <c r="F7" s="65"/>
      <c r="G7" s="28"/>
      <c r="H7" s="31">
        <f>+'Libro Ventas'!E7+'Libro Ventas'!E8+'Libro Ventas'!E9</f>
        <v>84095000</v>
      </c>
      <c r="I7" s="54" t="str">
        <f t="shared" si="0"/>
        <v>CTV 3</v>
      </c>
      <c r="J7" s="133" t="s">
        <v>126</v>
      </c>
      <c r="K7" s="31">
        <f t="shared" si="1"/>
        <v>15978050</v>
      </c>
      <c r="L7" s="26">
        <f>+'Libro Ventas'!J9</f>
        <v>15978050</v>
      </c>
      <c r="M7" s="54" t="str">
        <f t="shared" si="2"/>
        <v>CTV 3</v>
      </c>
      <c r="N7" s="65"/>
      <c r="O7" s="28"/>
      <c r="P7" s="24"/>
      <c r="Q7" s="65"/>
      <c r="R7" s="54"/>
      <c r="S7" s="28"/>
      <c r="T7" s="24"/>
      <c r="U7" s="131"/>
      <c r="V7" s="38"/>
      <c r="X7" s="84"/>
      <c r="Y7" s="24" t="str">
        <f>+'Comp Ingresos'!F8</f>
        <v>C025</v>
      </c>
      <c r="Z7" s="146">
        <f>+'Comp Ingresos'!A8</f>
        <v>44958</v>
      </c>
      <c r="AA7" s="31">
        <f>+'Comp Ingresos'!C8</f>
        <v>17890000</v>
      </c>
      <c r="AB7" s="26">
        <f>+'Comp Egresos'!F7</f>
        <v>16789000</v>
      </c>
      <c r="AC7" s="26" t="str">
        <f>+'Comp Egresos'!H7</f>
        <v>P001</v>
      </c>
      <c r="AD7" s="24"/>
      <c r="AE7" s="24"/>
      <c r="AF7" s="24"/>
      <c r="AG7" s="92"/>
    </row>
    <row r="8" spans="1:33" x14ac:dyDescent="0.3">
      <c r="A8" s="132">
        <v>45017</v>
      </c>
      <c r="B8" s="54" t="s">
        <v>78</v>
      </c>
      <c r="C8" s="31">
        <f>+'Libro Ventas'!H10+'Libro Ventas'!H11+'Libro Ventas'!H12</f>
        <v>125029955.90000001</v>
      </c>
      <c r="D8" s="26">
        <f>+'Comp Ingresos'!H16</f>
        <v>70727150</v>
      </c>
      <c r="E8" s="133" t="s">
        <v>109</v>
      </c>
      <c r="F8" s="65"/>
      <c r="G8" s="28"/>
      <c r="H8" s="31">
        <f>+'Libro Ventas'!G10+'Libro Ventas'!E11+'Libro Ventas'!E12</f>
        <v>109617610</v>
      </c>
      <c r="I8" s="54" t="str">
        <f t="shared" si="0"/>
        <v>CTV 4</v>
      </c>
      <c r="J8" s="133" t="s">
        <v>124</v>
      </c>
      <c r="K8" s="31">
        <f t="shared" si="1"/>
        <v>15412345.9</v>
      </c>
      <c r="L8" s="26">
        <f>+'Libro Ventas'!J12</f>
        <v>15412345.9</v>
      </c>
      <c r="M8" s="54" t="str">
        <f t="shared" si="2"/>
        <v>CTV 4</v>
      </c>
      <c r="N8" s="65"/>
      <c r="O8" s="28"/>
      <c r="P8" s="24"/>
      <c r="Q8" s="65"/>
      <c r="R8" s="54"/>
      <c r="S8" s="28"/>
      <c r="T8" s="24"/>
      <c r="U8" s="131"/>
      <c r="V8" s="38"/>
      <c r="X8" s="84"/>
      <c r="Y8" s="24" t="str">
        <f>+'Comp Ingresos'!F9</f>
        <v>C001</v>
      </c>
      <c r="Z8" s="146">
        <f>+'Comp Ingresos'!A9</f>
        <v>44958</v>
      </c>
      <c r="AA8" s="31">
        <f>+'Comp Ingresos'!C9</f>
        <v>18802000</v>
      </c>
      <c r="AB8" s="26">
        <f>+'Comp Egresos'!F8</f>
        <v>18088000</v>
      </c>
      <c r="AC8" s="26" t="str">
        <f>+'Comp Egresos'!H8</f>
        <v>P001</v>
      </c>
      <c r="AD8" s="24"/>
      <c r="AE8" s="24"/>
      <c r="AF8" s="24"/>
      <c r="AG8" s="92"/>
    </row>
    <row r="9" spans="1:33" x14ac:dyDescent="0.3">
      <c r="A9" s="132">
        <v>45047</v>
      </c>
      <c r="B9" s="54" t="s">
        <v>79</v>
      </c>
      <c r="C9" s="31">
        <f>+'Libro Ventas'!H13+'Libro Ventas'!H14+'Libro Ventas'!H15</f>
        <v>61840591</v>
      </c>
      <c r="D9" s="26">
        <f>+'Comp Ingresos'!H19</f>
        <v>127897046.90000001</v>
      </c>
      <c r="E9" s="133" t="s">
        <v>110</v>
      </c>
      <c r="F9" s="65"/>
      <c r="G9" s="28"/>
      <c r="H9" s="31">
        <f>+'Libro Ventas'!E13+'Libro Ventas'!E14+'Libro Ventas'!G15</f>
        <v>54960900</v>
      </c>
      <c r="I9" s="54" t="str">
        <f t="shared" si="0"/>
        <v>CTV 5</v>
      </c>
      <c r="J9" s="133" t="s">
        <v>127</v>
      </c>
      <c r="K9" s="31">
        <f t="shared" si="1"/>
        <v>6879691</v>
      </c>
      <c r="L9" s="26">
        <f>+'Libro Ventas'!J15</f>
        <v>6879691</v>
      </c>
      <c r="M9" s="54" t="str">
        <f t="shared" si="2"/>
        <v>CTV 5</v>
      </c>
      <c r="N9" s="65"/>
      <c r="O9" s="28"/>
      <c r="P9" s="24"/>
      <c r="Q9" s="65"/>
      <c r="R9" s="54"/>
      <c r="S9" s="28"/>
      <c r="T9" s="24"/>
      <c r="U9" s="131"/>
      <c r="V9" s="38"/>
      <c r="X9" s="84"/>
      <c r="Y9" s="24" t="str">
        <f>+'Comp Ingresos'!F10</f>
        <v>C003</v>
      </c>
      <c r="Z9" s="146">
        <f>+'Comp Ingresos'!A10</f>
        <v>44958</v>
      </c>
      <c r="AA9" s="31">
        <f>+'Comp Ingresos'!C10</f>
        <v>19730200</v>
      </c>
      <c r="AB9" s="26">
        <f>+'Comp Egresos'!F9</f>
        <v>6902000</v>
      </c>
      <c r="AC9" s="26" t="str">
        <f>+'Comp Egresos'!H9</f>
        <v>P002</v>
      </c>
      <c r="AD9" s="24"/>
      <c r="AE9" s="24"/>
      <c r="AF9" s="24"/>
      <c r="AG9" s="92"/>
    </row>
    <row r="10" spans="1:33" x14ac:dyDescent="0.3">
      <c r="A10" s="132">
        <v>45078</v>
      </c>
      <c r="B10" s="54" t="s">
        <v>80</v>
      </c>
      <c r="C10" s="31">
        <f>+'Libro Ventas'!H16+'Libro Ventas'!H17+'Libro Ventas'!H18+'Libro Ventas'!H19+'Libro Ventas'!H20</f>
        <v>901237500</v>
      </c>
      <c r="D10" s="26">
        <f>+'Comp Ingresos'!H23</f>
        <v>305712000</v>
      </c>
      <c r="E10" s="133" t="s">
        <v>111</v>
      </c>
      <c r="F10" s="65"/>
      <c r="G10" s="28"/>
      <c r="H10" s="31">
        <f>+'Libro Ventas'!G16+'Libro Ventas'!E17+'Libro Ventas'!E18+'Libro Ventas'!E19+'Libro Ventas'!G20</f>
        <v>802770000</v>
      </c>
      <c r="I10" s="54" t="str">
        <f t="shared" si="0"/>
        <v>CTV 6</v>
      </c>
      <c r="J10" s="65"/>
      <c r="K10" s="28"/>
      <c r="L10" s="26">
        <f>+'Libro Ventas'!J20</f>
        <v>98467500</v>
      </c>
      <c r="M10" s="54" t="str">
        <f t="shared" si="2"/>
        <v>CTV 6</v>
      </c>
      <c r="N10" s="65"/>
      <c r="O10" s="28"/>
      <c r="P10" s="26">
        <f>+Capital!G5</f>
        <v>100000000</v>
      </c>
      <c r="Q10" s="133" t="s">
        <v>111</v>
      </c>
      <c r="R10" s="54"/>
      <c r="S10" s="28"/>
      <c r="T10" s="24"/>
      <c r="U10" s="131"/>
      <c r="X10" s="84"/>
      <c r="Y10" s="24" t="str">
        <f>+'Comp Ingresos'!F11</f>
        <v>C010</v>
      </c>
      <c r="Z10" s="146">
        <f>+'Comp Ingresos'!A11</f>
        <v>44986</v>
      </c>
      <c r="AA10" s="31">
        <f>+'Comp Ingresos'!C11</f>
        <v>15860000</v>
      </c>
      <c r="AB10" s="26">
        <f>+'Comp Egresos'!F10</f>
        <v>2975000</v>
      </c>
      <c r="AC10" s="26" t="str">
        <f>+'Comp Egresos'!H10</f>
        <v>P013</v>
      </c>
      <c r="AD10" s="24"/>
      <c r="AE10" s="24"/>
      <c r="AF10" s="24"/>
      <c r="AG10" s="92"/>
    </row>
    <row r="11" spans="1:33" x14ac:dyDescent="0.3">
      <c r="A11" s="135" t="s">
        <v>88</v>
      </c>
      <c r="B11" s="54"/>
      <c r="C11" s="28"/>
      <c r="D11" s="24"/>
      <c r="E11" s="65"/>
      <c r="F11" s="65"/>
      <c r="G11" s="28"/>
      <c r="H11" s="24"/>
      <c r="I11" s="65"/>
      <c r="J11" s="65"/>
      <c r="K11" s="28"/>
      <c r="L11" s="24"/>
      <c r="M11" s="54"/>
      <c r="N11" s="65"/>
      <c r="O11" s="28"/>
      <c r="P11" s="24"/>
      <c r="Q11" s="65"/>
      <c r="R11" s="54"/>
      <c r="S11" s="28"/>
      <c r="T11" s="24"/>
      <c r="U11" s="131"/>
      <c r="X11" s="84"/>
      <c r="Y11" s="24" t="str">
        <f>+'Comp Ingresos'!F12</f>
        <v>C025</v>
      </c>
      <c r="Z11" s="146">
        <f>+'Comp Ingresos'!A12</f>
        <v>44986</v>
      </c>
      <c r="AA11" s="31">
        <f>+'Comp Ingresos'!C12</f>
        <v>42447300</v>
      </c>
      <c r="AB11" s="26">
        <f>+'Comp Egresos'!F11</f>
        <v>28976500</v>
      </c>
      <c r="AC11" s="26" t="str">
        <f>+'Comp Egresos'!H11</f>
        <v>P014</v>
      </c>
      <c r="AD11" s="24"/>
      <c r="AE11" s="24"/>
      <c r="AF11" s="24"/>
      <c r="AG11" s="92"/>
    </row>
    <row r="12" spans="1:33" x14ac:dyDescent="0.3">
      <c r="A12" s="136"/>
      <c r="B12" s="54"/>
      <c r="C12" s="37">
        <f>SUM(C4:C11)</f>
        <v>1393980736.9000001</v>
      </c>
      <c r="D12" s="37">
        <f>SUM(D4:D11)</f>
        <v>734050636.89999998</v>
      </c>
      <c r="E12" s="65"/>
      <c r="F12" s="65"/>
      <c r="G12" s="37">
        <f>SUM(G4:G11)</f>
        <v>0</v>
      </c>
      <c r="H12" s="37">
        <f>SUM(H4:H11)</f>
        <v>1135353510</v>
      </c>
      <c r="I12" s="65"/>
      <c r="J12" s="65"/>
      <c r="K12" s="37">
        <f>SUM(K4:K11)</f>
        <v>51199586.899999999</v>
      </c>
      <c r="L12" s="37">
        <f>SUM(L4:L11)</f>
        <v>149667086.90000001</v>
      </c>
      <c r="M12" s="54"/>
      <c r="N12" s="65"/>
      <c r="O12" s="37">
        <f>SUM(O4:O11)</f>
        <v>0</v>
      </c>
      <c r="P12" s="37">
        <f>SUM(P4:P11)</f>
        <v>435000000</v>
      </c>
      <c r="Q12" s="65"/>
      <c r="R12" s="54"/>
      <c r="S12" s="37">
        <f>SUM(S4:S11)</f>
        <v>0</v>
      </c>
      <c r="T12" s="37">
        <f>SUM(T4:T11)</f>
        <v>191161195.55555555</v>
      </c>
      <c r="U12" s="131"/>
      <c r="X12" s="84"/>
      <c r="Y12" s="24" t="str">
        <f>+'Comp Ingresos'!F13</f>
        <v>C007</v>
      </c>
      <c r="Z12" s="146">
        <f>+'Comp Ingresos'!A13</f>
        <v>44986</v>
      </c>
      <c r="AA12" s="31">
        <f>+'Comp Ingresos'!C13</f>
        <v>35283500</v>
      </c>
      <c r="AB12" s="26">
        <f>+'Comp Egresos'!F12</f>
        <v>25525500</v>
      </c>
      <c r="AC12" s="26" t="str">
        <f>+'Comp Egresos'!H12</f>
        <v>P015</v>
      </c>
      <c r="AD12" s="24"/>
      <c r="AE12" s="24"/>
      <c r="AF12" s="24"/>
      <c r="AG12" s="92"/>
    </row>
    <row r="13" spans="1:33" x14ac:dyDescent="0.3">
      <c r="A13" s="136"/>
      <c r="B13" s="54"/>
      <c r="C13" s="28"/>
      <c r="D13" s="24"/>
      <c r="E13" s="65"/>
      <c r="F13" s="65"/>
      <c r="G13" s="28"/>
      <c r="H13" s="24"/>
      <c r="I13" s="65"/>
      <c r="J13" s="65"/>
      <c r="K13" s="28"/>
      <c r="L13" s="24"/>
      <c r="M13" s="54"/>
      <c r="N13" s="65"/>
      <c r="O13" s="28"/>
      <c r="P13" s="24"/>
      <c r="Q13" s="65"/>
      <c r="R13" s="54"/>
      <c r="S13" s="28"/>
      <c r="T13" s="24"/>
      <c r="U13" s="131"/>
      <c r="X13" s="84"/>
      <c r="Y13" s="24" t="str">
        <f>+'Comp Ingresos'!F14</f>
        <v>C001</v>
      </c>
      <c r="Z13" s="146">
        <f>+'Comp Ingresos'!A14</f>
        <v>44986</v>
      </c>
      <c r="AA13" s="31">
        <f>+'Comp Ingresos'!C14</f>
        <v>22562400</v>
      </c>
      <c r="AB13" s="26">
        <f>+'Comp Egresos'!F13</f>
        <v>22015000</v>
      </c>
      <c r="AC13" s="26" t="str">
        <f>+'Comp Egresos'!H13</f>
        <v>P001</v>
      </c>
      <c r="AD13" s="24"/>
      <c r="AE13" s="24"/>
      <c r="AF13" s="24"/>
      <c r="AG13" s="92"/>
    </row>
    <row r="14" spans="1:33" ht="15" thickBot="1" x14ac:dyDescent="0.35">
      <c r="A14" s="136"/>
      <c r="B14" s="54"/>
      <c r="C14" s="44">
        <f>+C12-D12</f>
        <v>659930100.00000012</v>
      </c>
      <c r="D14" s="24"/>
      <c r="E14" s="65"/>
      <c r="F14" s="65"/>
      <c r="G14" s="28"/>
      <c r="H14" s="45">
        <f>+H12</f>
        <v>1135353510</v>
      </c>
      <c r="I14" s="65"/>
      <c r="J14" s="65"/>
      <c r="K14" s="28"/>
      <c r="L14" s="45">
        <f>+L12-K12</f>
        <v>98467500</v>
      </c>
      <c r="M14" s="54"/>
      <c r="N14" s="65"/>
      <c r="O14" s="28"/>
      <c r="P14" s="45">
        <f>+P12</f>
        <v>435000000</v>
      </c>
      <c r="Q14" s="65"/>
      <c r="R14" s="54"/>
      <c r="S14" s="28"/>
      <c r="T14" s="45">
        <f>+T12</f>
        <v>191161195.55555555</v>
      </c>
      <c r="U14" s="131"/>
      <c r="X14" s="84"/>
      <c r="Y14" s="24" t="str">
        <f>+'Comp Ingresos'!F15</f>
        <v>C002</v>
      </c>
      <c r="Z14" s="146">
        <f>+'Comp Ingresos'!A15</f>
        <v>45017</v>
      </c>
      <c r="AA14" s="31">
        <f>+'Comp Ingresos'!C15</f>
        <v>42227150</v>
      </c>
      <c r="AB14" s="26">
        <f>+'Comp Egresos'!F14</f>
        <v>7021000</v>
      </c>
      <c r="AC14" s="26" t="str">
        <f>+'Comp Egresos'!H14</f>
        <v>P007</v>
      </c>
      <c r="AD14" s="24"/>
      <c r="AE14" s="24"/>
      <c r="AF14" s="24"/>
      <c r="AG14" s="92"/>
    </row>
    <row r="15" spans="1:33" ht="15" thickTop="1" x14ac:dyDescent="0.3">
      <c r="A15" s="136"/>
      <c r="B15" s="54"/>
      <c r="C15" s="26"/>
      <c r="D15" s="24"/>
      <c r="E15" s="65"/>
      <c r="F15" s="65"/>
      <c r="G15" s="24"/>
      <c r="H15" s="24"/>
      <c r="I15" s="65"/>
      <c r="J15" s="65"/>
      <c r="K15" s="24"/>
      <c r="L15" s="26">
        <f>+L14-S28</f>
        <v>46022845</v>
      </c>
      <c r="M15" s="54"/>
      <c r="N15" s="65"/>
      <c r="O15" s="24"/>
      <c r="P15" s="24"/>
      <c r="Q15" s="65"/>
      <c r="R15" s="54"/>
      <c r="S15" s="24"/>
      <c r="T15" s="24"/>
      <c r="U15" s="131"/>
      <c r="X15" s="84"/>
      <c r="Y15" s="24" t="str">
        <f>+'Comp Ingresos'!F16</f>
        <v>C014</v>
      </c>
      <c r="Z15" s="146">
        <f>+'Comp Ingresos'!A16</f>
        <v>45017</v>
      </c>
      <c r="AA15" s="31">
        <f>+'Comp Ingresos'!C16</f>
        <v>28500000</v>
      </c>
      <c r="AB15" s="26">
        <f>+'Comp Egresos'!F15</f>
        <v>13708800</v>
      </c>
      <c r="AC15" s="26" t="str">
        <f>+'Comp Egresos'!H15</f>
        <v>P008</v>
      </c>
      <c r="AD15" s="24"/>
      <c r="AE15" s="24"/>
      <c r="AF15" s="24"/>
      <c r="AG15" s="92"/>
    </row>
    <row r="16" spans="1:33" x14ac:dyDescent="0.3">
      <c r="A16" s="136"/>
      <c r="B16" s="54"/>
      <c r="C16" s="24"/>
      <c r="D16" s="24"/>
      <c r="E16" s="65"/>
      <c r="F16" s="65"/>
      <c r="G16" s="24"/>
      <c r="H16" s="24"/>
      <c r="I16" s="65"/>
      <c r="J16" s="65"/>
      <c r="K16" s="24"/>
      <c r="L16" s="24"/>
      <c r="M16" s="54"/>
      <c r="N16" s="65"/>
      <c r="O16" s="24"/>
      <c r="P16" s="24"/>
      <c r="Q16" s="65"/>
      <c r="R16" s="54"/>
      <c r="S16" s="24"/>
      <c r="T16" s="24"/>
      <c r="U16" s="131"/>
      <c r="X16" s="84"/>
      <c r="Y16" s="24" t="str">
        <f>+'Comp Ingresos'!F17</f>
        <v>C017</v>
      </c>
      <c r="Z16" s="146">
        <f>+'Comp Ingresos'!A17</f>
        <v>45047</v>
      </c>
      <c r="AA16" s="31">
        <f>+'Comp Ingresos'!C17</f>
        <v>38725705.899999999</v>
      </c>
      <c r="AB16" s="26">
        <f>+'Comp Egresos'!F16</f>
        <v>7735000</v>
      </c>
      <c r="AC16" s="26" t="str">
        <f>+'Comp Egresos'!H16</f>
        <v>P009</v>
      </c>
      <c r="AD16" s="24"/>
      <c r="AE16" s="24"/>
      <c r="AF16" s="24"/>
      <c r="AG16" s="92"/>
    </row>
    <row r="17" spans="1:35" ht="15" thickBot="1" x14ac:dyDescent="0.35">
      <c r="A17" s="101"/>
      <c r="B17" s="129"/>
      <c r="C17" s="191" t="s">
        <v>50</v>
      </c>
      <c r="D17" s="191"/>
      <c r="E17" s="65"/>
      <c r="F17" s="65"/>
      <c r="G17" s="191" t="s">
        <v>54</v>
      </c>
      <c r="H17" s="191"/>
      <c r="I17" s="41"/>
      <c r="J17" s="65"/>
      <c r="K17" s="191" t="s">
        <v>72</v>
      </c>
      <c r="L17" s="191"/>
      <c r="M17" s="54"/>
      <c r="N17" s="65"/>
      <c r="O17" s="191" t="s">
        <v>74</v>
      </c>
      <c r="P17" s="191"/>
      <c r="Q17" s="65"/>
      <c r="R17" s="54"/>
      <c r="S17" s="191" t="s">
        <v>69</v>
      </c>
      <c r="T17" s="191"/>
      <c r="U17" s="131"/>
      <c r="X17" s="84"/>
      <c r="Y17" s="24" t="str">
        <f>+'Comp Ingresos'!F18</f>
        <v>C018</v>
      </c>
      <c r="Z17" s="146">
        <f>+'Comp Ingresos'!A18</f>
        <v>45047</v>
      </c>
      <c r="AA17" s="31">
        <f>+'Comp Ingresos'!C18</f>
        <v>57804250</v>
      </c>
      <c r="AB17" s="26">
        <f>+'Comp Egresos'!F17</f>
        <v>16005500</v>
      </c>
      <c r="AC17" s="26" t="str">
        <f>+'Comp Egresos'!H17</f>
        <v>P018</v>
      </c>
      <c r="AD17" s="24"/>
      <c r="AE17" s="24"/>
      <c r="AF17" s="24"/>
      <c r="AG17" s="92"/>
    </row>
    <row r="18" spans="1:35" x14ac:dyDescent="0.3">
      <c r="A18" s="128" t="s">
        <v>87</v>
      </c>
      <c r="B18" s="129"/>
      <c r="C18" s="30">
        <v>0</v>
      </c>
      <c r="D18" s="29"/>
      <c r="E18" s="65"/>
      <c r="F18" s="65"/>
      <c r="G18" s="30">
        <v>0</v>
      </c>
      <c r="H18" s="26"/>
      <c r="I18" s="41"/>
      <c r="J18" s="65"/>
      <c r="K18" s="47">
        <f>+P.P.E.!H9</f>
        <v>35000000</v>
      </c>
      <c r="L18" s="26"/>
      <c r="M18" s="54"/>
      <c r="N18" s="65"/>
      <c r="O18" s="30"/>
      <c r="P18" s="130">
        <f>+'Aux Proveedores'!E11</f>
        <v>53879500</v>
      </c>
      <c r="Q18" s="65"/>
      <c r="R18" s="54"/>
      <c r="S18" s="30">
        <v>0</v>
      </c>
      <c r="T18" s="26"/>
      <c r="U18" s="131"/>
      <c r="V18" s="38"/>
      <c r="X18" s="84"/>
      <c r="Y18" s="24" t="str">
        <f>+'Comp Ingresos'!F19</f>
        <v>C019</v>
      </c>
      <c r="Z18" s="146">
        <f>+'Comp Ingresos'!A19</f>
        <v>45047</v>
      </c>
      <c r="AA18" s="31">
        <f>+'Comp Ingresos'!C19</f>
        <v>31367091</v>
      </c>
      <c r="AB18" s="26">
        <f>+'Comp Egresos'!F18</f>
        <v>14280000</v>
      </c>
      <c r="AC18" s="26" t="str">
        <f>+'Comp Egresos'!H18</f>
        <v>P019</v>
      </c>
      <c r="AD18" s="24"/>
      <c r="AE18" s="24"/>
      <c r="AF18" s="24"/>
      <c r="AG18" s="92"/>
    </row>
    <row r="19" spans="1:35" x14ac:dyDescent="0.3">
      <c r="A19" s="132">
        <v>44927</v>
      </c>
      <c r="B19" s="54" t="str">
        <f>+Q19</f>
        <v>CTC 1</v>
      </c>
      <c r="C19" s="31">
        <f>+'Libro de Compras'!E4</f>
        <v>15200000</v>
      </c>
      <c r="D19" s="26"/>
      <c r="E19" s="134"/>
      <c r="F19" s="134" t="str">
        <f>+Q19</f>
        <v>CTC 1</v>
      </c>
      <c r="G19" s="31">
        <f>+'Libro de Compras'!E5</f>
        <v>5800000</v>
      </c>
      <c r="H19" s="26"/>
      <c r="I19" s="54"/>
      <c r="J19" s="65"/>
      <c r="K19" s="31"/>
      <c r="L19" s="26"/>
      <c r="M19" s="54"/>
      <c r="N19" s="133" t="s">
        <v>123</v>
      </c>
      <c r="O19" s="31">
        <f>+'Comp Egresos'!J7</f>
        <v>30479500</v>
      </c>
      <c r="P19" s="26">
        <f>+'Libro de Compras'!G4+'Libro de Compras'!G5</f>
        <v>24990000</v>
      </c>
      <c r="Q19" s="65" t="s">
        <v>81</v>
      </c>
      <c r="R19" s="54" t="str">
        <f t="shared" ref="R19:R24" si="3">+Q19</f>
        <v>CTC 1</v>
      </c>
      <c r="S19" s="31">
        <f>+'Libro de Compras'!F4+'Libro de Compras'!F5</f>
        <v>3990000</v>
      </c>
      <c r="T19" s="26">
        <f>+S19</f>
        <v>3990000</v>
      </c>
      <c r="U19" s="137" t="s">
        <v>123</v>
      </c>
      <c r="V19" s="38"/>
      <c r="X19" s="84"/>
      <c r="Y19" s="24" t="str">
        <f>+'Comp Ingresos'!F20</f>
        <v>C020</v>
      </c>
      <c r="Z19" s="146">
        <f>+'Comp Ingresos'!A20</f>
        <v>45078</v>
      </c>
      <c r="AA19" s="31">
        <f>+'Comp Ingresos'!C20</f>
        <v>11721500</v>
      </c>
      <c r="AB19" s="26">
        <f>+'Comp Egresos'!F19</f>
        <v>11900000</v>
      </c>
      <c r="AC19" s="26" t="str">
        <f>+'Comp Egresos'!H19</f>
        <v>P012</v>
      </c>
      <c r="AD19" s="24"/>
      <c r="AE19" s="24"/>
      <c r="AF19" s="24"/>
      <c r="AG19" s="92"/>
    </row>
    <row r="20" spans="1:35" x14ac:dyDescent="0.3">
      <c r="A20" s="132">
        <v>44958</v>
      </c>
      <c r="B20" s="54" t="str">
        <f>+Q20</f>
        <v>CTC 2</v>
      </c>
      <c r="C20" s="31">
        <f>+'Libro de Compras'!E6</f>
        <v>2500000</v>
      </c>
      <c r="D20" s="24"/>
      <c r="E20" s="65"/>
      <c r="F20" s="65"/>
      <c r="G20" s="28"/>
      <c r="H20" s="24"/>
      <c r="I20" s="65"/>
      <c r="J20" s="65" t="str">
        <f>+Q20</f>
        <v>CTC 2</v>
      </c>
      <c r="K20" s="31">
        <f>+'Libro de Compras'!E7</f>
        <v>24350000</v>
      </c>
      <c r="L20" s="24"/>
      <c r="M20" s="54"/>
      <c r="N20" s="133" t="s">
        <v>125</v>
      </c>
      <c r="O20" s="31">
        <f>+'Comp Egresos'!J9</f>
        <v>24990000</v>
      </c>
      <c r="P20" s="26">
        <f>+'Libro de Compras'!G6+'Libro de Compras'!G7</f>
        <v>31951500</v>
      </c>
      <c r="Q20" s="54" t="s">
        <v>82</v>
      </c>
      <c r="R20" s="54" t="str">
        <f t="shared" si="3"/>
        <v>CTC 2</v>
      </c>
      <c r="S20" s="31">
        <f>+'Libro de Compras'!F6+'Libro de Compras'!F7</f>
        <v>5101500</v>
      </c>
      <c r="T20" s="26">
        <f t="shared" ref="T20:T23" si="4">+S20</f>
        <v>5101500</v>
      </c>
      <c r="U20" s="137" t="s">
        <v>125</v>
      </c>
      <c r="X20" s="84"/>
      <c r="Y20" s="24" t="str">
        <f>+'Comp Ingresos'!F21</f>
        <v>C025</v>
      </c>
      <c r="Z20" s="146">
        <f>+'Comp Ingresos'!A21</f>
        <v>45078</v>
      </c>
      <c r="AA20" s="31">
        <f>+'Comp Ingresos'!C21</f>
        <v>18752000</v>
      </c>
      <c r="AB20" s="26">
        <f>+'Comp Egresos'!F20</f>
        <v>5950000</v>
      </c>
      <c r="AC20" s="26" t="str">
        <f>+'Comp Egresos'!H20</f>
        <v>P034</v>
      </c>
      <c r="AD20" s="25" t="s">
        <v>90</v>
      </c>
      <c r="AE20" s="29" t="s">
        <v>128</v>
      </c>
      <c r="AF20" s="29" t="s">
        <v>100</v>
      </c>
      <c r="AG20" s="147" t="s">
        <v>4</v>
      </c>
      <c r="AH20" s="42"/>
      <c r="AI20" s="42"/>
    </row>
    <row r="21" spans="1:35" x14ac:dyDescent="0.3">
      <c r="A21" s="132">
        <v>44986</v>
      </c>
      <c r="B21" s="54" t="str">
        <f>+Q21</f>
        <v>CTC 3</v>
      </c>
      <c r="C21" s="31">
        <f>+'Libro de Compras'!E9</f>
        <v>18500000</v>
      </c>
      <c r="D21" s="24"/>
      <c r="E21" s="65"/>
      <c r="F21" s="65"/>
      <c r="G21" s="28"/>
      <c r="H21" s="24"/>
      <c r="I21" s="65"/>
      <c r="J21" s="65"/>
      <c r="K21" s="28"/>
      <c r="L21" s="24"/>
      <c r="M21" s="54"/>
      <c r="N21" s="133" t="s">
        <v>126</v>
      </c>
      <c r="O21" s="31">
        <f>+'Comp Egresos'!J10</f>
        <v>2975000</v>
      </c>
      <c r="P21" s="26">
        <f>+'Libro de Compras'!G8+'Libro de Compras'!G9+'Libro de Compras'!G10</f>
        <v>54561500</v>
      </c>
      <c r="Q21" s="54" t="s">
        <v>83</v>
      </c>
      <c r="R21" s="54" t="str">
        <f t="shared" si="3"/>
        <v>CTC 3</v>
      </c>
      <c r="S21" s="31">
        <f>+'Libro de Compras'!F8+'Libro de Compras'!F9+'Libro de Compras'!F10</f>
        <v>8711500</v>
      </c>
      <c r="T21" s="26">
        <f t="shared" si="4"/>
        <v>8711500</v>
      </c>
      <c r="U21" s="137" t="s">
        <v>126</v>
      </c>
      <c r="X21" s="84"/>
      <c r="Y21" s="24" t="str">
        <f>+'Comp Ingresos'!F22</f>
        <v>Abono Transbank</v>
      </c>
      <c r="Z21" s="146">
        <f>+'Comp Ingresos'!A22</f>
        <v>45078</v>
      </c>
      <c r="AA21" s="31">
        <f>+'Comp Ingresos'!C22</f>
        <v>101683500</v>
      </c>
      <c r="AB21" s="26">
        <f>+'Comp Egresos'!F23</f>
        <v>2809800</v>
      </c>
      <c r="AC21" s="26" t="str">
        <f>+'Comp Egresos'!B23</f>
        <v>Pago de PPM e IVA de</v>
      </c>
      <c r="AD21" s="26">
        <f>+K5-T19+C47</f>
        <v>2809800</v>
      </c>
      <c r="AE21" s="26">
        <f>+AD21-AB21</f>
        <v>0</v>
      </c>
      <c r="AF21" s="26">
        <f>+C47</f>
        <v>647600</v>
      </c>
      <c r="AG21" s="72">
        <f>+AD21-AF21</f>
        <v>2162200</v>
      </c>
    </row>
    <row r="22" spans="1:35" x14ac:dyDescent="0.3">
      <c r="A22" s="132">
        <v>45017</v>
      </c>
      <c r="B22" s="54"/>
      <c r="C22" s="28"/>
      <c r="D22" s="24"/>
      <c r="E22" s="65"/>
      <c r="F22" s="65" t="str">
        <f>+Q22</f>
        <v>CTC 4</v>
      </c>
      <c r="G22" s="31">
        <f>+'Libro de Compras'!E12</f>
        <v>6500000</v>
      </c>
      <c r="H22" s="24"/>
      <c r="I22" s="65"/>
      <c r="J22" s="65"/>
      <c r="K22" s="28"/>
      <c r="L22" s="24"/>
      <c r="M22" s="54"/>
      <c r="N22" s="133" t="s">
        <v>124</v>
      </c>
      <c r="O22" s="31">
        <f>+'Comp Egresos'!J11</f>
        <v>28976500</v>
      </c>
      <c r="P22" s="26">
        <f>+'Libro de Compras'!G11+'Libro de Compras'!G12+'Libro de Compras'!G13</f>
        <v>37449300</v>
      </c>
      <c r="Q22" s="54" t="s">
        <v>84</v>
      </c>
      <c r="R22" s="54" t="str">
        <f t="shared" si="3"/>
        <v>CTC 4</v>
      </c>
      <c r="S22" s="31">
        <f>+'Libro de Compras'!F11+'Libro de Compras'!F12+'Libro de Compras'!F13</f>
        <v>5979300</v>
      </c>
      <c r="T22" s="26">
        <f t="shared" si="4"/>
        <v>5979300</v>
      </c>
      <c r="U22" s="137" t="s">
        <v>124</v>
      </c>
      <c r="X22" s="84"/>
      <c r="Y22" s="24" t="str">
        <f>+'Comp Ingresos'!F23</f>
        <v>Abono Transbank</v>
      </c>
      <c r="Z22" s="146">
        <f>+'Comp Ingresos'!A23</f>
        <v>45078</v>
      </c>
      <c r="AA22" s="31">
        <f>+'Comp Ingresos'!C23</f>
        <v>173555000</v>
      </c>
      <c r="AB22" s="26">
        <f>+'Comp Egresos'!F24</f>
        <v>2706400</v>
      </c>
      <c r="AC22" s="26" t="str">
        <f>+'Comp Egresos'!B24</f>
        <v>Pago de PPM e IVA de</v>
      </c>
      <c r="AD22" s="26">
        <f>+K6-T20+C48</f>
        <v>2706400</v>
      </c>
      <c r="AE22" s="26">
        <f>+AD22-AB22</f>
        <v>0</v>
      </c>
      <c r="AF22" s="26">
        <f t="shared" ref="AF22:AF25" si="5">+C48</f>
        <v>1030600</v>
      </c>
      <c r="AG22" s="72">
        <f t="shared" ref="AG22:AG25" si="6">+AD22-AF22</f>
        <v>1675800</v>
      </c>
    </row>
    <row r="23" spans="1:35" x14ac:dyDescent="0.3">
      <c r="A23" s="132">
        <v>45047</v>
      </c>
      <c r="B23" s="54"/>
      <c r="C23" s="28"/>
      <c r="D23" s="24"/>
      <c r="E23" s="65"/>
      <c r="F23" s="65"/>
      <c r="G23" s="28"/>
      <c r="H23" s="24"/>
      <c r="I23" s="65"/>
      <c r="J23" s="65"/>
      <c r="K23" s="28"/>
      <c r="L23" s="24"/>
      <c r="M23" s="54"/>
      <c r="N23" s="133" t="s">
        <v>127</v>
      </c>
      <c r="O23" s="31">
        <f>+'Comp Egresos'!J13</f>
        <v>47540500</v>
      </c>
      <c r="P23" s="26">
        <f>+'Libro de Compras'!G14+'Libro de Compras'!G15+'Libro de Compras'!G16</f>
        <v>32130000</v>
      </c>
      <c r="Q23" s="54" t="s">
        <v>85</v>
      </c>
      <c r="R23" s="54" t="str">
        <f t="shared" si="3"/>
        <v>CTC 5</v>
      </c>
      <c r="S23" s="31">
        <f>+'Libro de Compras'!F14+'Libro de Compras'!F15+'Libro de Compras'!F16</f>
        <v>5130000</v>
      </c>
      <c r="T23" s="26">
        <f t="shared" si="4"/>
        <v>5130000</v>
      </c>
      <c r="U23" s="137" t="s">
        <v>127</v>
      </c>
      <c r="X23" s="84"/>
      <c r="Y23" s="24" t="s">
        <v>242</v>
      </c>
      <c r="Z23" s="146"/>
      <c r="AA23" s="31">
        <f>+Capital!G5</f>
        <v>100000000</v>
      </c>
      <c r="AB23" s="26">
        <f>+'Comp Egresos'!F25</f>
        <v>8948450</v>
      </c>
      <c r="AC23" s="26" t="str">
        <f>+'Comp Egresos'!B25</f>
        <v>Pago de PPM e IVA de</v>
      </c>
      <c r="AD23" s="26">
        <f>+K7-T21+C49</f>
        <v>8948450</v>
      </c>
      <c r="AE23" s="26">
        <f>+AD23-AB23</f>
        <v>0</v>
      </c>
      <c r="AF23" s="26">
        <f t="shared" si="5"/>
        <v>1681900</v>
      </c>
      <c r="AG23" s="72">
        <f t="shared" si="6"/>
        <v>7266550</v>
      </c>
    </row>
    <row r="24" spans="1:35" x14ac:dyDescent="0.3">
      <c r="A24" s="132">
        <v>45078</v>
      </c>
      <c r="B24" s="54" t="s">
        <v>86</v>
      </c>
      <c r="C24" s="31">
        <f>+'Libro de Compras'!E18</f>
        <v>19500000</v>
      </c>
      <c r="D24" s="24"/>
      <c r="E24" s="65"/>
      <c r="F24" s="65"/>
      <c r="G24" s="28"/>
      <c r="H24" s="24"/>
      <c r="I24" s="65"/>
      <c r="J24" s="65"/>
      <c r="K24" s="28"/>
      <c r="L24" s="24"/>
      <c r="M24" s="54"/>
      <c r="N24" s="133" t="s">
        <v>147</v>
      </c>
      <c r="O24" s="31">
        <f>+'Comp Egresos'!J20</f>
        <v>76600300</v>
      </c>
      <c r="P24" s="26">
        <f>+'Libro de Compras'!G17+'Libro de Compras'!G18+'Libro de Compras'!G19</f>
        <v>328469155</v>
      </c>
      <c r="Q24" s="54" t="s">
        <v>86</v>
      </c>
      <c r="R24" s="54" t="str">
        <f t="shared" si="3"/>
        <v>CTC 6</v>
      </c>
      <c r="S24" s="31">
        <f>+'Libro de Compras'!F17+'Libro de Compras'!F18+'Libro de Compras'!F19</f>
        <v>52444655</v>
      </c>
      <c r="T24" s="24"/>
      <c r="U24" s="131"/>
      <c r="X24" s="84"/>
      <c r="Y24" s="24" t="s">
        <v>196</v>
      </c>
      <c r="Z24" s="24"/>
      <c r="AA24" s="31">
        <f>+D51</f>
        <v>12000000</v>
      </c>
      <c r="AB24" s="26">
        <f>+'Comp Egresos'!F26</f>
        <v>11625398.100000001</v>
      </c>
      <c r="AC24" s="26" t="str">
        <f>+'Comp Egresos'!B26</f>
        <v>Pago de PPM e IVA de</v>
      </c>
      <c r="AD24" s="26">
        <f>+K8-T22+C50</f>
        <v>11625398.100000001</v>
      </c>
      <c r="AE24" s="26">
        <f>+AD24-AB24</f>
        <v>0</v>
      </c>
      <c r="AF24" s="26">
        <f t="shared" si="5"/>
        <v>2192352.2000000002</v>
      </c>
      <c r="AG24" s="72">
        <f t="shared" si="6"/>
        <v>9433045.9000000022</v>
      </c>
    </row>
    <row r="25" spans="1:35" x14ac:dyDescent="0.3">
      <c r="A25" s="135" t="s">
        <v>88</v>
      </c>
      <c r="B25" s="54"/>
      <c r="C25" s="28"/>
      <c r="D25" s="24"/>
      <c r="E25" s="65"/>
      <c r="F25" s="65"/>
      <c r="G25" s="28"/>
      <c r="H25" s="24"/>
      <c r="I25" s="65"/>
      <c r="J25" s="65"/>
      <c r="K25" s="28"/>
      <c r="L25" s="24"/>
      <c r="M25" s="54"/>
      <c r="N25" s="65"/>
      <c r="O25" s="28"/>
      <c r="P25" s="24"/>
      <c r="Q25" s="65"/>
      <c r="R25" s="54"/>
      <c r="S25" s="28"/>
      <c r="T25" s="24"/>
      <c r="U25" s="131"/>
      <c r="X25" s="84"/>
      <c r="Y25" s="24"/>
      <c r="Z25" s="24"/>
      <c r="AA25" s="28"/>
      <c r="AB25" s="26">
        <f>+'Comp Egresos'!F27</f>
        <v>2848909</v>
      </c>
      <c r="AC25" s="26" t="str">
        <f>+'Comp Egresos'!B27</f>
        <v>Pago de PPM e IVA de</v>
      </c>
      <c r="AD25" s="26">
        <f>+K9-T23+C51</f>
        <v>2848909</v>
      </c>
      <c r="AE25" s="26">
        <f>+AD25-AB25</f>
        <v>0</v>
      </c>
      <c r="AF25" s="26">
        <f t="shared" si="5"/>
        <v>1099218</v>
      </c>
      <c r="AG25" s="72">
        <f t="shared" si="6"/>
        <v>1749691</v>
      </c>
    </row>
    <row r="26" spans="1:35" x14ac:dyDescent="0.3">
      <c r="A26" s="136"/>
      <c r="B26" s="54"/>
      <c r="C26" s="37">
        <f>SUM(C18:C25)</f>
        <v>55700000</v>
      </c>
      <c r="D26" s="37">
        <f>SUM(D18:D25)</f>
        <v>0</v>
      </c>
      <c r="E26" s="65"/>
      <c r="F26" s="65"/>
      <c r="G26" s="37">
        <f>SUM(G18:G25)</f>
        <v>12300000</v>
      </c>
      <c r="H26" s="37">
        <f>SUM(H18:H25)</f>
        <v>0</v>
      </c>
      <c r="I26" s="65"/>
      <c r="J26" s="65"/>
      <c r="K26" s="37">
        <f>SUM(K18:K25)</f>
        <v>59350000</v>
      </c>
      <c r="L26" s="37">
        <f>SUM(L18:L25)</f>
        <v>0</v>
      </c>
      <c r="M26" s="54"/>
      <c r="N26" s="65"/>
      <c r="O26" s="37">
        <f>SUM(O18:O25)</f>
        <v>211561800</v>
      </c>
      <c r="P26" s="37">
        <f>SUM(P18:P25)</f>
        <v>563430955</v>
      </c>
      <c r="Q26" s="65"/>
      <c r="R26" s="54"/>
      <c r="S26" s="37">
        <f>SUM(S18:S25)</f>
        <v>81356955</v>
      </c>
      <c r="T26" s="37">
        <f>SUM(T18:T25)</f>
        <v>28912300</v>
      </c>
      <c r="U26" s="131"/>
      <c r="X26" s="84"/>
      <c r="Y26" s="24"/>
      <c r="Z26" s="24"/>
      <c r="AA26" s="28"/>
      <c r="AB26" s="26">
        <f>+'Comp Egresos'!F30</f>
        <v>269800000</v>
      </c>
      <c r="AC26" s="24" t="str">
        <f>+'Comp Egresos'!B30</f>
        <v>Pago de Remuneraciones</v>
      </c>
      <c r="AD26" s="24"/>
      <c r="AE26" s="24"/>
      <c r="AF26" s="24"/>
      <c r="AG26" s="92"/>
    </row>
    <row r="27" spans="1:35" x14ac:dyDescent="0.3">
      <c r="A27" s="136"/>
      <c r="B27" s="54"/>
      <c r="C27" s="28"/>
      <c r="D27" s="24"/>
      <c r="E27" s="65"/>
      <c r="F27" s="65"/>
      <c r="G27" s="28"/>
      <c r="H27" s="24"/>
      <c r="I27" s="65"/>
      <c r="J27" s="65"/>
      <c r="K27" s="28"/>
      <c r="L27" s="24"/>
      <c r="M27" s="54"/>
      <c r="N27" s="65"/>
      <c r="O27" s="28"/>
      <c r="P27" s="24"/>
      <c r="Q27" s="65"/>
      <c r="R27" s="54"/>
      <c r="S27" s="28"/>
      <c r="T27" s="24"/>
      <c r="U27" s="131"/>
      <c r="X27" s="84"/>
      <c r="Y27" s="24"/>
      <c r="Z27" s="24"/>
      <c r="AA27" s="28"/>
      <c r="AB27" s="26">
        <f>-'Ptmo Banco'!E10</f>
        <v>31266666.666666668</v>
      </c>
      <c r="AC27" s="24" t="s">
        <v>193</v>
      </c>
      <c r="AD27" s="24"/>
      <c r="AE27" s="24"/>
      <c r="AF27" s="24"/>
      <c r="AG27" s="92"/>
    </row>
    <row r="28" spans="1:35" ht="15" thickBot="1" x14ac:dyDescent="0.35">
      <c r="A28" s="136"/>
      <c r="B28" s="54"/>
      <c r="C28" s="44">
        <f>+C26</f>
        <v>55700000</v>
      </c>
      <c r="D28" s="24"/>
      <c r="E28" s="65"/>
      <c r="F28" s="65"/>
      <c r="G28" s="44">
        <f>+G26</f>
        <v>12300000</v>
      </c>
      <c r="H28" s="24"/>
      <c r="I28" s="65"/>
      <c r="J28" s="65"/>
      <c r="K28" s="44">
        <f>+K26</f>
        <v>59350000</v>
      </c>
      <c r="L28" s="24"/>
      <c r="M28" s="54"/>
      <c r="N28" s="65"/>
      <c r="O28" s="28"/>
      <c r="P28" s="45">
        <f>+P26-O26</f>
        <v>351869155</v>
      </c>
      <c r="Q28" s="65"/>
      <c r="R28" s="54"/>
      <c r="S28" s="44">
        <f>+S26-T26</f>
        <v>52444655</v>
      </c>
      <c r="T28" s="24"/>
      <c r="U28" s="131"/>
      <c r="X28" s="84"/>
      <c r="Y28" s="24"/>
      <c r="Z28" s="24"/>
      <c r="AA28" s="28"/>
      <c r="AB28" s="26">
        <v>200000000</v>
      </c>
      <c r="AC28" s="24" t="s">
        <v>203</v>
      </c>
      <c r="AD28" s="24"/>
      <c r="AE28" s="24"/>
      <c r="AF28" s="24"/>
      <c r="AG28" s="92"/>
    </row>
    <row r="29" spans="1:35" ht="15" thickTop="1" x14ac:dyDescent="0.3">
      <c r="A29" s="136"/>
      <c r="B29" s="54"/>
      <c r="C29" s="24"/>
      <c r="D29" s="24"/>
      <c r="E29" s="65"/>
      <c r="F29" s="65"/>
      <c r="G29" s="24"/>
      <c r="H29" s="24"/>
      <c r="I29" s="65"/>
      <c r="J29" s="65"/>
      <c r="K29" s="24"/>
      <c r="L29" s="24"/>
      <c r="M29" s="54"/>
      <c r="N29" s="65"/>
      <c r="O29" s="24"/>
      <c r="P29" s="24"/>
      <c r="Q29" s="65"/>
      <c r="R29" s="54"/>
      <c r="S29" s="24"/>
      <c r="T29" s="24"/>
      <c r="U29" s="131"/>
      <c r="X29" s="84"/>
      <c r="Y29" s="24"/>
      <c r="Z29" s="24"/>
      <c r="AA29" s="28"/>
      <c r="AB29" s="24"/>
      <c r="AC29" s="24"/>
      <c r="AD29" s="24"/>
      <c r="AE29" s="24"/>
      <c r="AF29" s="24"/>
      <c r="AG29" s="92"/>
    </row>
    <row r="30" spans="1:35" x14ac:dyDescent="0.3">
      <c r="A30" s="136"/>
      <c r="B30" s="54"/>
      <c r="C30" s="24"/>
      <c r="D30" s="24"/>
      <c r="E30" s="65"/>
      <c r="F30" s="65"/>
      <c r="G30" s="24"/>
      <c r="H30" s="24"/>
      <c r="I30" s="65"/>
      <c r="J30" s="65"/>
      <c r="K30" s="24"/>
      <c r="L30" s="24"/>
      <c r="M30" s="54"/>
      <c r="N30" s="65"/>
      <c r="O30" s="24"/>
      <c r="P30" s="24"/>
      <c r="Q30" s="65"/>
      <c r="R30" s="54"/>
      <c r="S30" s="24"/>
      <c r="T30" s="24"/>
      <c r="U30" s="131"/>
      <c r="X30" s="84"/>
      <c r="Y30" s="24"/>
      <c r="Z30" s="24"/>
      <c r="AA30" s="28"/>
      <c r="AB30" s="24"/>
      <c r="AC30" s="24"/>
      <c r="AD30" s="24"/>
      <c r="AE30" s="24"/>
      <c r="AF30" s="24"/>
      <c r="AG30" s="92"/>
    </row>
    <row r="31" spans="1:35" ht="15" thickBot="1" x14ac:dyDescent="0.35">
      <c r="A31" s="101"/>
      <c r="B31" s="129"/>
      <c r="C31" s="191" t="s">
        <v>55</v>
      </c>
      <c r="D31" s="191"/>
      <c r="E31" s="65"/>
      <c r="F31" s="65"/>
      <c r="G31" s="191" t="s">
        <v>56</v>
      </c>
      <c r="H31" s="191"/>
      <c r="I31" s="41"/>
      <c r="J31" s="65"/>
      <c r="K31" s="191" t="s">
        <v>57</v>
      </c>
      <c r="L31" s="191"/>
      <c r="M31" s="54"/>
      <c r="N31" s="65"/>
      <c r="O31" s="191" t="s">
        <v>58</v>
      </c>
      <c r="P31" s="191"/>
      <c r="Q31" s="65"/>
      <c r="R31" s="54"/>
      <c r="S31" s="191" t="s">
        <v>73</v>
      </c>
      <c r="T31" s="191"/>
      <c r="U31" s="131"/>
      <c r="X31" s="84"/>
      <c r="Y31" s="24"/>
      <c r="Z31" s="24"/>
      <c r="AA31" s="28"/>
      <c r="AB31" s="24"/>
      <c r="AC31" s="24"/>
      <c r="AD31" s="24"/>
      <c r="AE31" s="24"/>
      <c r="AF31" s="24"/>
      <c r="AG31" s="92"/>
    </row>
    <row r="32" spans="1:35" x14ac:dyDescent="0.3">
      <c r="A32" s="128" t="s">
        <v>87</v>
      </c>
      <c r="B32" s="129"/>
      <c r="C32" s="30">
        <v>0</v>
      </c>
      <c r="D32" s="29"/>
      <c r="E32" s="65"/>
      <c r="F32" s="65"/>
      <c r="G32" s="30">
        <v>0</v>
      </c>
      <c r="H32" s="26"/>
      <c r="I32" s="41"/>
      <c r="J32" s="65"/>
      <c r="K32" s="30">
        <v>0</v>
      </c>
      <c r="L32" s="26"/>
      <c r="M32" s="54"/>
      <c r="N32" s="65"/>
      <c r="O32" s="30">
        <v>0</v>
      </c>
      <c r="P32" s="26"/>
      <c r="Q32" s="65"/>
      <c r="R32" s="54"/>
      <c r="S32" s="47">
        <f>+P.P.E.!H8</f>
        <v>150000000</v>
      </c>
      <c r="T32" s="26"/>
      <c r="U32" s="131"/>
      <c r="V32" s="38"/>
      <c r="X32" s="84"/>
      <c r="Y32" s="24"/>
      <c r="Z32" s="24"/>
      <c r="AA32" s="28"/>
      <c r="AB32" s="24"/>
      <c r="AC32" s="24"/>
      <c r="AD32" s="24"/>
      <c r="AE32" s="24"/>
      <c r="AF32" s="24"/>
      <c r="AG32" s="92"/>
    </row>
    <row r="33" spans="1:33" ht="15" thickBot="1" x14ac:dyDescent="0.35">
      <c r="A33" s="132">
        <v>44927</v>
      </c>
      <c r="B33" s="54"/>
      <c r="C33" s="31"/>
      <c r="D33" s="26"/>
      <c r="E33" s="134"/>
      <c r="F33" s="134"/>
      <c r="G33" s="31"/>
      <c r="H33" s="26"/>
      <c r="I33" s="54"/>
      <c r="J33" s="65"/>
      <c r="K33" s="31"/>
      <c r="L33" s="26"/>
      <c r="M33" s="54"/>
      <c r="N33" s="65"/>
      <c r="O33" s="31"/>
      <c r="P33" s="26"/>
      <c r="Q33" s="65"/>
      <c r="R33" s="54"/>
      <c r="S33" s="31"/>
      <c r="T33" s="26"/>
      <c r="U33" s="131"/>
      <c r="V33" s="38"/>
      <c r="X33" s="96"/>
      <c r="Y33" s="16"/>
      <c r="Z33" s="16"/>
      <c r="AA33" s="148">
        <f>SUM(AA4:AA30)</f>
        <v>1002050636.9</v>
      </c>
      <c r="AB33" s="148">
        <f>SUM(AB4:AB30)</f>
        <v>741567423.76666665</v>
      </c>
      <c r="AC33" s="16"/>
      <c r="AD33" s="16"/>
      <c r="AE33" s="16"/>
      <c r="AF33" s="16"/>
      <c r="AG33" s="94"/>
    </row>
    <row r="34" spans="1:33" ht="15" thickBot="1" x14ac:dyDescent="0.35">
      <c r="A34" s="132">
        <v>44958</v>
      </c>
      <c r="B34" s="54"/>
      <c r="C34" s="28"/>
      <c r="D34" s="24"/>
      <c r="E34" s="65"/>
      <c r="F34" s="65"/>
      <c r="G34" s="28"/>
      <c r="H34" s="24"/>
      <c r="I34" s="65"/>
      <c r="J34" s="65"/>
      <c r="K34" s="28"/>
      <c r="L34" s="24"/>
      <c r="M34" s="54"/>
      <c r="N34" s="65"/>
      <c r="O34" s="28"/>
      <c r="P34" s="24"/>
      <c r="Q34" s="65"/>
      <c r="R34" s="54"/>
      <c r="S34" s="28"/>
      <c r="T34" s="24"/>
      <c r="U34" s="131"/>
    </row>
    <row r="35" spans="1:33" ht="15" thickBot="1" x14ac:dyDescent="0.35">
      <c r="A35" s="132">
        <v>44986</v>
      </c>
      <c r="B35" s="54" t="str">
        <f>+Q21</f>
        <v>CTC 3</v>
      </c>
      <c r="C35" s="31">
        <f>+'Libro de Compras'!E8+'Libro de Compras'!E10</f>
        <v>27350000</v>
      </c>
      <c r="D35" s="24"/>
      <c r="E35" s="65"/>
      <c r="F35" s="65"/>
      <c r="G35" s="28"/>
      <c r="H35" s="24"/>
      <c r="I35" s="65"/>
      <c r="J35" s="65"/>
      <c r="K35" s="28"/>
      <c r="L35" s="24"/>
      <c r="M35" s="54"/>
      <c r="N35" s="65"/>
      <c r="O35" s="28"/>
      <c r="P35" s="24"/>
      <c r="Q35" s="65"/>
      <c r="R35" s="54"/>
      <c r="S35" s="28"/>
      <c r="T35" s="24"/>
      <c r="U35" s="131"/>
      <c r="Y35" s="114" t="s">
        <v>243</v>
      </c>
      <c r="Z35" s="98"/>
      <c r="AA35" s="177">
        <f>+AA33-AB33</f>
        <v>260483213.13333333</v>
      </c>
    </row>
    <row r="36" spans="1:33" ht="15.6" thickTop="1" thickBot="1" x14ac:dyDescent="0.35">
      <c r="A36" s="132">
        <v>45017</v>
      </c>
      <c r="B36" s="54"/>
      <c r="C36" s="28"/>
      <c r="D36" s="24"/>
      <c r="E36" s="65"/>
      <c r="F36" s="65" t="str">
        <f>+F22</f>
        <v>CTC 4</v>
      </c>
      <c r="G36" s="31">
        <f>+'Libro de Compras'!E11</f>
        <v>11520000</v>
      </c>
      <c r="H36" s="24"/>
      <c r="I36" s="65"/>
      <c r="J36" s="65" t="str">
        <f>+F36</f>
        <v>CTC 4</v>
      </c>
      <c r="K36" s="31">
        <f>+'Libro de Compras'!E13</f>
        <v>13450000</v>
      </c>
      <c r="L36" s="24"/>
      <c r="M36" s="54"/>
      <c r="N36" s="65"/>
      <c r="O36" s="28"/>
      <c r="P36" s="24"/>
      <c r="Q36" s="65"/>
      <c r="R36" s="54"/>
      <c r="S36" s="28"/>
      <c r="T36" s="24"/>
      <c r="U36" s="131"/>
      <c r="Y36" s="84"/>
      <c r="Z36" s="24"/>
      <c r="AA36" s="92"/>
    </row>
    <row r="37" spans="1:33" x14ac:dyDescent="0.3">
      <c r="A37" s="132">
        <v>45047</v>
      </c>
      <c r="B37" s="54"/>
      <c r="C37" s="28"/>
      <c r="D37" s="24"/>
      <c r="E37" s="65"/>
      <c r="F37" s="65" t="str">
        <f>+Q23</f>
        <v>CTC 5</v>
      </c>
      <c r="G37" s="31">
        <f>+'Libro de Compras'!E16</f>
        <v>5000000</v>
      </c>
      <c r="H37" s="24"/>
      <c r="I37" s="65"/>
      <c r="J37" s="65"/>
      <c r="K37" s="28"/>
      <c r="L37" s="24"/>
      <c r="M37" s="54"/>
      <c r="N37" s="65" t="str">
        <f>+F37</f>
        <v>CTC 5</v>
      </c>
      <c r="O37" s="31">
        <f>+'Libro de Compras'!E14+'Libro de Compras'!E15</f>
        <v>22000000</v>
      </c>
      <c r="P37" s="24"/>
      <c r="Q37" s="65"/>
      <c r="R37" s="54"/>
      <c r="S37" s="28"/>
      <c r="T37" s="24"/>
      <c r="U37" s="131"/>
      <c r="Y37" s="114" t="str">
        <f>+X4</f>
        <v>Saldo Inicial Banco</v>
      </c>
      <c r="Z37" s="98"/>
      <c r="AA37" s="178">
        <f>+AA4</f>
        <v>156000000</v>
      </c>
    </row>
    <row r="38" spans="1:33" x14ac:dyDescent="0.3">
      <c r="A38" s="132">
        <v>45078</v>
      </c>
      <c r="B38" s="54" t="s">
        <v>86</v>
      </c>
      <c r="C38" s="31">
        <f>+'Libro de Compras'!E19</f>
        <v>6524500</v>
      </c>
      <c r="D38" s="24"/>
      <c r="E38" s="65"/>
      <c r="F38" s="65"/>
      <c r="G38" s="28"/>
      <c r="H38" s="24"/>
      <c r="I38" s="65"/>
      <c r="J38" s="65"/>
      <c r="K38" s="28"/>
      <c r="L38" s="24"/>
      <c r="M38" s="54"/>
      <c r="N38" s="65"/>
      <c r="O38" s="28"/>
      <c r="P38" s="24"/>
      <c r="Q38" s="65"/>
      <c r="R38" s="54" t="s">
        <v>86</v>
      </c>
      <c r="S38" s="31">
        <f>+'Libro de Compras'!E17</f>
        <v>250000000</v>
      </c>
      <c r="T38" s="24"/>
      <c r="U38" s="131"/>
      <c r="Y38" s="84" t="s">
        <v>240</v>
      </c>
      <c r="Z38" s="24"/>
      <c r="AA38" s="72">
        <f>SUM(AA5:AA24)</f>
        <v>846050636.89999998</v>
      </c>
    </row>
    <row r="39" spans="1:33" x14ac:dyDescent="0.3">
      <c r="A39" s="135" t="s">
        <v>88</v>
      </c>
      <c r="B39" s="54"/>
      <c r="C39" s="28"/>
      <c r="D39" s="24"/>
      <c r="E39" s="65"/>
      <c r="F39" s="65"/>
      <c r="G39" s="28"/>
      <c r="H39" s="24"/>
      <c r="I39" s="65"/>
      <c r="J39" s="65"/>
      <c r="K39" s="28"/>
      <c r="L39" s="24"/>
      <c r="M39" s="54"/>
      <c r="N39" s="65"/>
      <c r="O39" s="28"/>
      <c r="P39" s="24"/>
      <c r="Q39" s="65"/>
      <c r="R39" s="54"/>
      <c r="S39" s="28"/>
      <c r="T39" s="24"/>
      <c r="U39" s="131"/>
      <c r="Y39" s="84" t="s">
        <v>241</v>
      </c>
      <c r="Z39" s="24"/>
      <c r="AA39" s="72">
        <f>SUM(AB5:AB28)*-1</f>
        <v>-741567423.76666665</v>
      </c>
    </row>
    <row r="40" spans="1:33" ht="15" thickBot="1" x14ac:dyDescent="0.35">
      <c r="A40" s="136"/>
      <c r="B40" s="54"/>
      <c r="C40" s="37">
        <f>SUM(C32:C39)</f>
        <v>33874500</v>
      </c>
      <c r="D40" s="37">
        <f>SUM(D32:D39)</f>
        <v>0</v>
      </c>
      <c r="E40" s="65"/>
      <c r="F40" s="65"/>
      <c r="G40" s="37">
        <f>SUM(G32:G39)</f>
        <v>16520000</v>
      </c>
      <c r="H40" s="37">
        <f>SUM(H32:H39)</f>
        <v>0</v>
      </c>
      <c r="I40" s="65"/>
      <c r="J40" s="65"/>
      <c r="K40" s="37">
        <f>SUM(K32:K39)</f>
        <v>13450000</v>
      </c>
      <c r="L40" s="37">
        <f>SUM(L32:L39)</f>
        <v>0</v>
      </c>
      <c r="M40" s="54"/>
      <c r="N40" s="65"/>
      <c r="O40" s="37">
        <f>SUM(O32:O39)</f>
        <v>22000000</v>
      </c>
      <c r="P40" s="37">
        <f>SUM(P32:P39)</f>
        <v>0</v>
      </c>
      <c r="Q40" s="65"/>
      <c r="R40" s="54"/>
      <c r="S40" s="37">
        <f>SUM(S32:S39)</f>
        <v>400000000</v>
      </c>
      <c r="T40" s="37">
        <f>SUM(T32:T39)</f>
        <v>0</v>
      </c>
      <c r="U40" s="131"/>
      <c r="Y40" s="86" t="s">
        <v>246</v>
      </c>
      <c r="Z40" s="87"/>
      <c r="AA40" s="90">
        <f>+AA37+AA38+AA39</f>
        <v>260483213.13333333</v>
      </c>
    </row>
    <row r="41" spans="1:33" x14ac:dyDescent="0.3">
      <c r="A41" s="136"/>
      <c r="B41" s="54"/>
      <c r="C41" s="28"/>
      <c r="D41" s="24"/>
      <c r="E41" s="65"/>
      <c r="F41" s="65"/>
      <c r="G41" s="28"/>
      <c r="H41" s="24"/>
      <c r="I41" s="65"/>
      <c r="J41" s="65"/>
      <c r="K41" s="28"/>
      <c r="L41" s="24"/>
      <c r="M41" s="54"/>
      <c r="N41" s="65"/>
      <c r="O41" s="28"/>
      <c r="P41" s="24"/>
      <c r="Q41" s="65"/>
      <c r="R41" s="54"/>
      <c r="S41" s="28"/>
      <c r="T41" s="24"/>
      <c r="U41" s="131"/>
    </row>
    <row r="42" spans="1:33" ht="15" thickBot="1" x14ac:dyDescent="0.35">
      <c r="A42" s="136"/>
      <c r="B42" s="54"/>
      <c r="C42" s="44">
        <f>+C40</f>
        <v>33874500</v>
      </c>
      <c r="D42" s="24"/>
      <c r="E42" s="65"/>
      <c r="F42" s="65"/>
      <c r="G42" s="44">
        <f>+G40</f>
        <v>16520000</v>
      </c>
      <c r="H42" s="24"/>
      <c r="I42" s="65"/>
      <c r="J42" s="65"/>
      <c r="K42" s="44">
        <f>+K40</f>
        <v>13450000</v>
      </c>
      <c r="L42" s="24"/>
      <c r="M42" s="54"/>
      <c r="N42" s="65"/>
      <c r="O42" s="44">
        <f>+O40</f>
        <v>22000000</v>
      </c>
      <c r="P42" s="24"/>
      <c r="Q42" s="65"/>
      <c r="R42" s="54"/>
      <c r="S42" s="44">
        <f>+S40</f>
        <v>400000000</v>
      </c>
      <c r="T42" s="24"/>
      <c r="U42" s="131"/>
      <c r="Y42" s="6" t="s">
        <v>247</v>
      </c>
    </row>
    <row r="43" spans="1:33" ht="15" thickTop="1" x14ac:dyDescent="0.3">
      <c r="A43" s="136"/>
      <c r="B43" s="54"/>
      <c r="C43" s="24"/>
      <c r="D43" s="24"/>
      <c r="E43" s="65"/>
      <c r="F43" s="65"/>
      <c r="G43" s="24"/>
      <c r="H43" s="24"/>
      <c r="I43" s="65"/>
      <c r="J43" s="65"/>
      <c r="K43" s="24"/>
      <c r="L43" s="24"/>
      <c r="M43" s="54"/>
      <c r="N43" s="65"/>
      <c r="O43" s="24"/>
      <c r="P43" s="24"/>
      <c r="Q43" s="65"/>
      <c r="R43" s="54"/>
      <c r="S43" s="24"/>
      <c r="T43" s="24"/>
      <c r="U43" s="131"/>
      <c r="Y43" t="str">
        <f>+S73</f>
        <v>Depósitos en USD</v>
      </c>
      <c r="AA43" s="179">
        <f>+S82</f>
        <v>223450000</v>
      </c>
    </row>
    <row r="44" spans="1:33" ht="16.05" customHeight="1" x14ac:dyDescent="0.3">
      <c r="A44" s="136"/>
      <c r="B44" s="54"/>
      <c r="C44" s="24"/>
      <c r="D44" s="24"/>
      <c r="E44" s="65"/>
      <c r="F44" s="65"/>
      <c r="G44" s="24"/>
      <c r="H44" s="24"/>
      <c r="I44" s="65"/>
      <c r="J44" s="65"/>
      <c r="K44" s="24"/>
      <c r="L44" s="24"/>
      <c r="M44" s="54"/>
      <c r="N44" s="65"/>
      <c r="O44" s="24"/>
      <c r="P44" s="24"/>
      <c r="Q44" s="65"/>
      <c r="R44" s="54"/>
      <c r="S44" s="24"/>
      <c r="T44" s="24"/>
      <c r="U44" s="131"/>
    </row>
    <row r="45" spans="1:33" ht="14.4" customHeight="1" thickBot="1" x14ac:dyDescent="0.35">
      <c r="A45" s="101"/>
      <c r="B45" s="129"/>
      <c r="C45" s="191" t="s">
        <v>100</v>
      </c>
      <c r="D45" s="191"/>
      <c r="E45" s="65"/>
      <c r="F45" s="65"/>
      <c r="G45" s="191" t="str">
        <f>+'Costos de Rem.'!B5</f>
        <v>Sueldos Base</v>
      </c>
      <c r="H45" s="191"/>
      <c r="I45" s="41"/>
      <c r="J45" s="65"/>
      <c r="K45" s="191" t="str">
        <f>+'Costos de Rem.'!B6</f>
        <v>Gratifiacción</v>
      </c>
      <c r="L45" s="191"/>
      <c r="M45" s="54"/>
      <c r="N45" s="65"/>
      <c r="O45" s="191" t="str">
        <f>+'Costos de Rem.'!B7</f>
        <v>Asignaciones</v>
      </c>
      <c r="P45" s="191"/>
      <c r="Q45" s="65"/>
      <c r="R45" s="54"/>
      <c r="S45" s="191" t="str">
        <f>+'Costos de Rem.'!B9</f>
        <v>AFP</v>
      </c>
      <c r="T45" s="191"/>
      <c r="U45" s="131"/>
      <c r="Y45" t="s">
        <v>103</v>
      </c>
      <c r="AA45" s="5">
        <f>+AA40+AA43</f>
        <v>483933213.13333333</v>
      </c>
    </row>
    <row r="46" spans="1:33" ht="14.4" customHeight="1" x14ac:dyDescent="0.3">
      <c r="A46" s="128" t="s">
        <v>87</v>
      </c>
      <c r="B46" s="129"/>
      <c r="C46" s="47">
        <v>15000000</v>
      </c>
      <c r="D46" s="29"/>
      <c r="E46" s="65"/>
      <c r="F46" s="65"/>
      <c r="G46" s="30"/>
      <c r="H46" s="26"/>
      <c r="I46" s="41"/>
      <c r="J46" s="65"/>
      <c r="K46" s="30"/>
      <c r="L46" s="26"/>
      <c r="M46" s="54"/>
      <c r="N46" s="65"/>
      <c r="O46" s="30"/>
      <c r="P46" s="26"/>
      <c r="Q46" s="65"/>
      <c r="R46" s="54"/>
      <c r="S46" s="30"/>
      <c r="T46" s="26"/>
      <c r="U46" s="131"/>
      <c r="V46" s="38"/>
    </row>
    <row r="47" spans="1:33" ht="14.4" customHeight="1" x14ac:dyDescent="0.3">
      <c r="A47" s="132">
        <v>44927</v>
      </c>
      <c r="B47" s="133" t="s">
        <v>123</v>
      </c>
      <c r="C47" s="31">
        <f>+'Libro Ventas'!I4</f>
        <v>647600</v>
      </c>
      <c r="D47" s="26"/>
      <c r="E47" s="134"/>
      <c r="F47" s="134"/>
      <c r="G47" s="31"/>
      <c r="H47" s="26"/>
      <c r="I47" s="54"/>
      <c r="J47" s="65"/>
      <c r="K47" s="31"/>
      <c r="L47" s="26"/>
      <c r="M47" s="54"/>
      <c r="N47" s="65"/>
      <c r="O47" s="31"/>
      <c r="P47" s="26"/>
      <c r="Q47" s="65"/>
      <c r="R47" s="54"/>
      <c r="S47" s="31"/>
      <c r="T47" s="26"/>
      <c r="U47" s="131"/>
      <c r="V47" s="38"/>
    </row>
    <row r="48" spans="1:33" ht="14.4" customHeight="1" x14ac:dyDescent="0.3">
      <c r="A48" s="132">
        <v>44958</v>
      </c>
      <c r="B48" s="133" t="s">
        <v>125</v>
      </c>
      <c r="C48" s="31">
        <f>+'Libro Ventas'!I6</f>
        <v>1030600</v>
      </c>
      <c r="D48" s="24"/>
      <c r="E48" s="65"/>
      <c r="F48" s="65"/>
      <c r="G48" s="28"/>
      <c r="H48" s="24"/>
      <c r="I48" s="65"/>
      <c r="J48" s="65"/>
      <c r="K48" s="28"/>
      <c r="L48" s="24"/>
      <c r="M48" s="54"/>
      <c r="N48" s="65"/>
      <c r="O48" s="28"/>
      <c r="P48" s="24"/>
      <c r="Q48" s="65"/>
      <c r="R48" s="54"/>
      <c r="S48" s="28"/>
      <c r="T48" s="24"/>
      <c r="U48" s="131"/>
    </row>
    <row r="49" spans="1:22" ht="14.4" customHeight="1" x14ac:dyDescent="0.3">
      <c r="A49" s="132">
        <v>44986</v>
      </c>
      <c r="B49" s="133" t="s">
        <v>126</v>
      </c>
      <c r="C49" s="31">
        <f>+'Libro Ventas'!I9</f>
        <v>1681900</v>
      </c>
      <c r="D49" s="24"/>
      <c r="E49" s="65"/>
      <c r="F49" s="65"/>
      <c r="G49" s="28"/>
      <c r="H49" s="24"/>
      <c r="I49" s="65"/>
      <c r="J49" s="65"/>
      <c r="K49" s="28"/>
      <c r="L49" s="24"/>
      <c r="M49" s="54"/>
      <c r="N49" s="65"/>
      <c r="O49" s="28"/>
      <c r="P49" s="24"/>
      <c r="Q49" s="65"/>
      <c r="R49" s="54"/>
      <c r="S49" s="28"/>
      <c r="T49" s="24"/>
      <c r="U49" s="131"/>
    </row>
    <row r="50" spans="1:22" ht="14.4" customHeight="1" x14ac:dyDescent="0.3">
      <c r="A50" s="132">
        <v>45017</v>
      </c>
      <c r="B50" s="133" t="s">
        <v>124</v>
      </c>
      <c r="C50" s="31">
        <f>+'Libro Ventas'!I12</f>
        <v>2192352.2000000002</v>
      </c>
      <c r="D50" s="24"/>
      <c r="E50" s="65"/>
      <c r="F50" s="65"/>
      <c r="G50" s="28"/>
      <c r="H50" s="24"/>
      <c r="I50" s="65"/>
      <c r="J50" s="65"/>
      <c r="K50" s="28"/>
      <c r="L50" s="24"/>
      <c r="M50" s="54"/>
      <c r="N50" s="65"/>
      <c r="O50" s="28"/>
      <c r="P50" s="24"/>
      <c r="Q50" s="65"/>
      <c r="R50" s="54"/>
      <c r="S50" s="28"/>
      <c r="T50" s="24"/>
      <c r="U50" s="131"/>
    </row>
    <row r="51" spans="1:22" ht="14.4" customHeight="1" x14ac:dyDescent="0.3">
      <c r="A51" s="132">
        <v>45047</v>
      </c>
      <c r="B51" s="133" t="s">
        <v>127</v>
      </c>
      <c r="C51" s="31">
        <f>+'Libro Ventas'!I15</f>
        <v>1099218</v>
      </c>
      <c r="D51" s="138">
        <v>12000000</v>
      </c>
      <c r="E51" s="133" t="s">
        <v>110</v>
      </c>
      <c r="F51" s="65"/>
      <c r="G51" s="28"/>
      <c r="H51" s="24"/>
      <c r="I51" s="65"/>
      <c r="J51" s="65"/>
      <c r="K51" s="28"/>
      <c r="L51" s="24"/>
      <c r="M51" s="54"/>
      <c r="N51" s="65"/>
      <c r="O51" s="28"/>
      <c r="P51" s="24"/>
      <c r="Q51" s="65"/>
      <c r="R51" s="54"/>
      <c r="S51" s="28"/>
      <c r="T51" s="24"/>
      <c r="U51" s="131"/>
    </row>
    <row r="52" spans="1:22" ht="14.4" customHeight="1" x14ac:dyDescent="0.3">
      <c r="A52" s="132">
        <v>45078</v>
      </c>
      <c r="B52" s="54" t="s">
        <v>149</v>
      </c>
      <c r="C52" s="31">
        <f>+'Libro Ventas'!I20</f>
        <v>16055400</v>
      </c>
      <c r="D52" s="24"/>
      <c r="E52" s="65"/>
      <c r="F52" s="54" t="s">
        <v>136</v>
      </c>
      <c r="G52" s="31">
        <f>+'Costos de Rem.'!C5</f>
        <v>290000000</v>
      </c>
      <c r="H52" s="24"/>
      <c r="I52" s="65"/>
      <c r="J52" s="54" t="s">
        <v>136</v>
      </c>
      <c r="K52" s="31">
        <f>+'Costos de Rem.'!C6</f>
        <v>19000000</v>
      </c>
      <c r="L52" s="24"/>
      <c r="M52" s="54"/>
      <c r="N52" s="54" t="s">
        <v>136</v>
      </c>
      <c r="O52" s="31">
        <f>+'Costos de Rem.'!C7</f>
        <v>15000000</v>
      </c>
      <c r="P52" s="24"/>
      <c r="Q52" s="65"/>
      <c r="R52" s="54"/>
      <c r="S52" s="28"/>
      <c r="T52" s="26">
        <f>-'Costos de Rem.'!C9</f>
        <v>32900000</v>
      </c>
      <c r="U52" s="139" t="s">
        <v>136</v>
      </c>
    </row>
    <row r="53" spans="1:22" ht="14.4" customHeight="1" x14ac:dyDescent="0.3">
      <c r="A53" s="135" t="s">
        <v>88</v>
      </c>
      <c r="B53" s="54"/>
      <c r="C53" s="28"/>
      <c r="D53" s="24"/>
      <c r="E53" s="65"/>
      <c r="F53" s="65"/>
      <c r="G53" s="28"/>
      <c r="H53" s="24"/>
      <c r="I53" s="65"/>
      <c r="J53" s="65"/>
      <c r="K53" s="28"/>
      <c r="L53" s="24"/>
      <c r="M53" s="54"/>
      <c r="N53" s="65"/>
      <c r="O53" s="28"/>
      <c r="P53" s="24"/>
      <c r="Q53" s="65"/>
      <c r="R53" s="54"/>
      <c r="S53" s="28"/>
      <c r="T53" s="24"/>
      <c r="U53" s="131"/>
    </row>
    <row r="54" spans="1:22" ht="14.4" customHeight="1" x14ac:dyDescent="0.3">
      <c r="A54" s="136"/>
      <c r="B54" s="54"/>
      <c r="C54" s="37">
        <f>SUM(C46:C53)</f>
        <v>37707070.200000003</v>
      </c>
      <c r="D54" s="37">
        <f>SUM(D46:D53)</f>
        <v>12000000</v>
      </c>
      <c r="E54" s="65"/>
      <c r="F54" s="65"/>
      <c r="G54" s="37">
        <f>SUM(G46:G53)</f>
        <v>290000000</v>
      </c>
      <c r="H54" s="37">
        <f>SUM(H46:H53)</f>
        <v>0</v>
      </c>
      <c r="I54" s="65"/>
      <c r="J54" s="65"/>
      <c r="K54" s="37">
        <f>SUM(K46:K53)</f>
        <v>19000000</v>
      </c>
      <c r="L54" s="37">
        <f>SUM(L46:L53)</f>
        <v>0</v>
      </c>
      <c r="M54" s="54"/>
      <c r="N54" s="65"/>
      <c r="O54" s="37">
        <f>SUM(O46:O53)</f>
        <v>15000000</v>
      </c>
      <c r="P54" s="37">
        <f>SUM(P46:P53)</f>
        <v>0</v>
      </c>
      <c r="Q54" s="65"/>
      <c r="R54" s="54"/>
      <c r="S54" s="37">
        <f>SUM(S46:S53)</f>
        <v>0</v>
      </c>
      <c r="T54" s="37">
        <f>SUM(T46:T53)</f>
        <v>32900000</v>
      </c>
      <c r="U54" s="131"/>
    </row>
    <row r="55" spans="1:22" ht="14.4" customHeight="1" x14ac:dyDescent="0.3">
      <c r="A55" s="136"/>
      <c r="B55" s="54"/>
      <c r="C55" s="28"/>
      <c r="D55" s="24"/>
      <c r="E55" s="65"/>
      <c r="F55" s="65"/>
      <c r="G55" s="28"/>
      <c r="H55" s="24"/>
      <c r="I55" s="65"/>
      <c r="J55" s="65"/>
      <c r="K55" s="28"/>
      <c r="L55" s="24"/>
      <c r="M55" s="54"/>
      <c r="N55" s="65"/>
      <c r="O55" s="28"/>
      <c r="P55" s="24"/>
      <c r="Q55" s="65"/>
      <c r="R55" s="54"/>
      <c r="S55" s="28"/>
      <c r="T55" s="24"/>
      <c r="U55" s="131"/>
    </row>
    <row r="56" spans="1:22" ht="14.4" customHeight="1" thickBot="1" x14ac:dyDescent="0.35">
      <c r="A56" s="136"/>
      <c r="B56" s="54"/>
      <c r="C56" s="44">
        <f>+C54-D54</f>
        <v>25707070.200000003</v>
      </c>
      <c r="D56" s="24"/>
      <c r="E56" s="65"/>
      <c r="F56" s="65"/>
      <c r="G56" s="44">
        <f>+G54</f>
        <v>290000000</v>
      </c>
      <c r="H56" s="24"/>
      <c r="I56" s="65"/>
      <c r="J56" s="65"/>
      <c r="K56" s="44">
        <f>+K54</f>
        <v>19000000</v>
      </c>
      <c r="L56" s="24"/>
      <c r="M56" s="54"/>
      <c r="N56" s="65"/>
      <c r="O56" s="44">
        <f>+O54</f>
        <v>15000000</v>
      </c>
      <c r="P56" s="24"/>
      <c r="Q56" s="65"/>
      <c r="R56" s="54"/>
      <c r="S56" s="28"/>
      <c r="T56" s="45">
        <f>+T54</f>
        <v>32900000</v>
      </c>
      <c r="U56" s="131"/>
    </row>
    <row r="57" spans="1:22" ht="14.4" customHeight="1" thickTop="1" x14ac:dyDescent="0.3">
      <c r="A57" s="136"/>
      <c r="B57" s="54"/>
      <c r="C57" s="24"/>
      <c r="D57" s="24"/>
      <c r="E57" s="65"/>
      <c r="F57" s="65"/>
      <c r="G57" s="24"/>
      <c r="H57" s="24"/>
      <c r="I57" s="65"/>
      <c r="J57" s="65"/>
      <c r="K57" s="24"/>
      <c r="L57" s="24"/>
      <c r="M57" s="54"/>
      <c r="N57" s="65"/>
      <c r="O57" s="24"/>
      <c r="P57" s="24"/>
      <c r="Q57" s="65"/>
      <c r="R57" s="54"/>
      <c r="S57" s="24"/>
      <c r="T57" s="24"/>
      <c r="U57" s="131"/>
    </row>
    <row r="58" spans="1:22" x14ac:dyDescent="0.3">
      <c r="A58" s="136"/>
      <c r="B58" s="54"/>
      <c r="C58" s="24"/>
      <c r="D58" s="24"/>
      <c r="E58" s="65"/>
      <c r="F58" s="65"/>
      <c r="G58" s="24"/>
      <c r="H58" s="24"/>
      <c r="I58" s="65"/>
      <c r="J58" s="65"/>
      <c r="K58" s="24"/>
      <c r="L58" s="24"/>
      <c r="M58" s="54"/>
      <c r="N58" s="65"/>
      <c r="O58" s="24"/>
      <c r="P58" s="24"/>
      <c r="Q58" s="65"/>
      <c r="R58" s="54"/>
      <c r="S58" s="24"/>
      <c r="T58" s="24"/>
      <c r="U58" s="131"/>
    </row>
    <row r="59" spans="1:22" ht="14.4" customHeight="1" thickBot="1" x14ac:dyDescent="0.35">
      <c r="A59" s="101"/>
      <c r="B59" s="129"/>
      <c r="C59" s="191" t="str">
        <f>+'Costos de Rem.'!B10</f>
        <v>Salud (Isapre)</v>
      </c>
      <c r="D59" s="191"/>
      <c r="E59" s="65"/>
      <c r="F59" s="65"/>
      <c r="G59" s="191" t="s">
        <v>135</v>
      </c>
      <c r="H59" s="191"/>
      <c r="I59" s="41"/>
      <c r="J59" s="65"/>
      <c r="K59" s="191" t="s">
        <v>148</v>
      </c>
      <c r="L59" s="191"/>
      <c r="M59" s="54"/>
      <c r="N59" s="65"/>
      <c r="O59" s="191" t="s">
        <v>174</v>
      </c>
      <c r="P59" s="191"/>
      <c r="Q59" s="65"/>
      <c r="R59" s="54"/>
      <c r="S59" s="191" t="s">
        <v>159</v>
      </c>
      <c r="T59" s="191"/>
      <c r="U59" s="131"/>
    </row>
    <row r="60" spans="1:22" ht="14.4" customHeight="1" x14ac:dyDescent="0.3">
      <c r="A60" s="128" t="s">
        <v>87</v>
      </c>
      <c r="B60" s="129"/>
      <c r="C60" s="30"/>
      <c r="D60" s="29"/>
      <c r="E60" s="65"/>
      <c r="F60" s="65"/>
      <c r="G60" s="30"/>
      <c r="H60" s="26"/>
      <c r="I60" s="41"/>
      <c r="J60" s="65"/>
      <c r="K60" s="30"/>
      <c r="L60" s="26"/>
      <c r="M60" s="54"/>
      <c r="N60" s="65"/>
      <c r="O60" s="47">
        <f>+P.P.E.!H6</f>
        <v>150000000</v>
      </c>
      <c r="P60" s="26"/>
      <c r="Q60" s="65"/>
      <c r="R60" s="54"/>
      <c r="S60" s="47">
        <f>+P.P.E.!H7</f>
        <v>280000000</v>
      </c>
      <c r="T60" s="26"/>
      <c r="U60" s="131"/>
      <c r="V60" s="38"/>
    </row>
    <row r="61" spans="1:22" ht="14.4" customHeight="1" x14ac:dyDescent="0.3">
      <c r="A61" s="132">
        <v>44927</v>
      </c>
      <c r="B61" s="129"/>
      <c r="C61" s="31"/>
      <c r="D61" s="26"/>
      <c r="E61" s="134"/>
      <c r="F61" s="134"/>
      <c r="G61" s="31"/>
      <c r="H61" s="26"/>
      <c r="I61" s="54"/>
      <c r="J61" s="65"/>
      <c r="K61" s="31"/>
      <c r="L61" s="26"/>
      <c r="M61" s="54"/>
      <c r="N61" s="65"/>
      <c r="O61" s="31"/>
      <c r="P61" s="26"/>
      <c r="Q61" s="65"/>
      <c r="R61" s="54"/>
      <c r="S61" s="31"/>
      <c r="T61" s="26"/>
      <c r="U61" s="131"/>
      <c r="V61" s="38"/>
    </row>
    <row r="62" spans="1:22" ht="14.4" customHeight="1" x14ac:dyDescent="0.3">
      <c r="A62" s="132">
        <v>44958</v>
      </c>
      <c r="B62" s="129"/>
      <c r="C62" s="31"/>
      <c r="D62" s="24"/>
      <c r="E62" s="65"/>
      <c r="F62" s="65"/>
      <c r="G62" s="28"/>
      <c r="H62" s="24"/>
      <c r="I62" s="65"/>
      <c r="J62" s="65"/>
      <c r="K62" s="28"/>
      <c r="L62" s="24"/>
      <c r="M62" s="54"/>
      <c r="N62" s="65"/>
      <c r="O62" s="28"/>
      <c r="P62" s="24"/>
      <c r="Q62" s="65"/>
      <c r="R62" s="54"/>
      <c r="S62" s="28"/>
      <c r="T62" s="24"/>
      <c r="U62" s="131"/>
    </row>
    <row r="63" spans="1:22" ht="14.4" customHeight="1" x14ac:dyDescent="0.3">
      <c r="A63" s="132">
        <v>44986</v>
      </c>
      <c r="B63" s="129"/>
      <c r="C63" s="31"/>
      <c r="D63" s="24"/>
      <c r="E63" s="65"/>
      <c r="F63" s="65"/>
      <c r="G63" s="28"/>
      <c r="H63" s="24"/>
      <c r="I63" s="65"/>
      <c r="J63" s="65"/>
      <c r="K63" s="28"/>
      <c r="L63" s="24"/>
      <c r="M63" s="54"/>
      <c r="N63" s="65"/>
      <c r="O63" s="28"/>
      <c r="P63" s="24"/>
      <c r="Q63" s="65"/>
      <c r="R63" s="54"/>
      <c r="S63" s="28"/>
      <c r="T63" s="24"/>
      <c r="U63" s="131"/>
    </row>
    <row r="64" spans="1:22" ht="14.4" customHeight="1" x14ac:dyDescent="0.3">
      <c r="A64" s="132">
        <v>45017</v>
      </c>
      <c r="B64" s="129"/>
      <c r="C64" s="31"/>
      <c r="D64" s="24"/>
      <c r="E64" s="65"/>
      <c r="F64" s="65"/>
      <c r="G64" s="28"/>
      <c r="H64" s="24"/>
      <c r="I64" s="65"/>
      <c r="J64" s="65"/>
      <c r="K64" s="28"/>
      <c r="L64" s="24"/>
      <c r="M64" s="54"/>
      <c r="N64" s="65"/>
      <c r="O64" s="28"/>
      <c r="P64" s="24"/>
      <c r="Q64" s="65"/>
      <c r="R64" s="54"/>
      <c r="S64" s="28"/>
      <c r="T64" s="24"/>
      <c r="U64" s="131"/>
    </row>
    <row r="65" spans="1:22" ht="14.4" customHeight="1" x14ac:dyDescent="0.3">
      <c r="A65" s="132">
        <v>45047</v>
      </c>
      <c r="B65" s="129"/>
      <c r="C65" s="31"/>
      <c r="D65" s="24"/>
      <c r="E65" s="65"/>
      <c r="F65" s="65"/>
      <c r="G65" s="28"/>
      <c r="H65" s="24"/>
      <c r="I65" s="65"/>
      <c r="J65" s="65"/>
      <c r="K65" s="28"/>
      <c r="L65" s="24"/>
      <c r="M65" s="54"/>
      <c r="N65" s="65"/>
      <c r="O65" s="28"/>
      <c r="P65" s="24"/>
      <c r="Q65" s="65"/>
      <c r="R65" s="54"/>
      <c r="S65" s="28"/>
      <c r="T65" s="24"/>
      <c r="U65" s="131"/>
    </row>
    <row r="66" spans="1:22" ht="14.4" customHeight="1" x14ac:dyDescent="0.3">
      <c r="A66" s="132">
        <v>45078</v>
      </c>
      <c r="B66" s="129"/>
      <c r="C66" s="31"/>
      <c r="D66" s="26">
        <f>-'Costos de Rem.'!C10</f>
        <v>21300000</v>
      </c>
      <c r="E66" s="54" t="s">
        <v>136</v>
      </c>
      <c r="F66" s="133" t="s">
        <v>147</v>
      </c>
      <c r="G66" s="31">
        <f>+'Comp Egresos'!F30</f>
        <v>269800000</v>
      </c>
      <c r="H66" s="26">
        <f>+'Costos de Rem.'!C11</f>
        <v>269800000</v>
      </c>
      <c r="I66" s="54" t="s">
        <v>136</v>
      </c>
      <c r="J66" s="65"/>
      <c r="K66" s="31"/>
      <c r="L66" s="26">
        <f>+C52</f>
        <v>16055400</v>
      </c>
      <c r="M66" s="54" t="str">
        <f>+B52</f>
        <v>CT6</v>
      </c>
      <c r="N66" s="65"/>
      <c r="O66" s="31"/>
      <c r="P66" s="24"/>
      <c r="Q66" s="65"/>
      <c r="R66" s="54"/>
      <c r="S66" s="28"/>
      <c r="T66" s="24"/>
      <c r="U66" s="131"/>
    </row>
    <row r="67" spans="1:22" ht="14.4" customHeight="1" x14ac:dyDescent="0.3">
      <c r="A67" s="135" t="s">
        <v>88</v>
      </c>
      <c r="B67" s="54"/>
      <c r="C67" s="28"/>
      <c r="D67" s="24"/>
      <c r="E67" s="65"/>
      <c r="F67" s="65"/>
      <c r="G67" s="28"/>
      <c r="H67" s="24"/>
      <c r="I67" s="65"/>
      <c r="J67" s="65"/>
      <c r="K67" s="28"/>
      <c r="L67" s="24"/>
      <c r="M67" s="54"/>
      <c r="N67" s="65"/>
      <c r="O67" s="28"/>
      <c r="P67" s="24"/>
      <c r="Q67" s="65"/>
      <c r="R67" s="54"/>
      <c r="S67" s="28"/>
      <c r="T67" s="24"/>
      <c r="U67" s="131"/>
    </row>
    <row r="68" spans="1:22" ht="14.4" customHeight="1" x14ac:dyDescent="0.3">
      <c r="A68" s="136"/>
      <c r="B68" s="54"/>
      <c r="C68" s="37">
        <f>SUM(C60:C67)</f>
        <v>0</v>
      </c>
      <c r="D68" s="37">
        <f>SUM(D60:D67)</f>
        <v>21300000</v>
      </c>
      <c r="E68" s="65"/>
      <c r="F68" s="65"/>
      <c r="G68" s="37">
        <f>SUM(G60:G67)</f>
        <v>269800000</v>
      </c>
      <c r="H68" s="37">
        <f>SUM(H60:H67)</f>
        <v>269800000</v>
      </c>
      <c r="I68" s="65"/>
      <c r="J68" s="65"/>
      <c r="K68" s="37">
        <f>SUM(K60:K67)</f>
        <v>0</v>
      </c>
      <c r="L68" s="37">
        <f>SUM(L60:L67)</f>
        <v>16055400</v>
      </c>
      <c r="M68" s="54"/>
      <c r="N68" s="65"/>
      <c r="O68" s="37">
        <f>SUM(O60:O67)</f>
        <v>150000000</v>
      </c>
      <c r="P68" s="37">
        <f>SUM(P60:P67)</f>
        <v>0</v>
      </c>
      <c r="Q68" s="65"/>
      <c r="R68" s="54"/>
      <c r="S68" s="37">
        <f>SUM(S60:S67)</f>
        <v>280000000</v>
      </c>
      <c r="T68" s="37">
        <f>SUM(T60:T67)</f>
        <v>0</v>
      </c>
      <c r="U68" s="131"/>
    </row>
    <row r="69" spans="1:22" ht="14.4" customHeight="1" x14ac:dyDescent="0.3">
      <c r="A69" s="136"/>
      <c r="B69" s="54"/>
      <c r="C69" s="28"/>
      <c r="D69" s="24"/>
      <c r="E69" s="65"/>
      <c r="F69" s="65"/>
      <c r="G69" s="28"/>
      <c r="H69" s="24"/>
      <c r="I69" s="65"/>
      <c r="J69" s="65"/>
      <c r="K69" s="28"/>
      <c r="L69" s="24"/>
      <c r="M69" s="54"/>
      <c r="N69" s="65"/>
      <c r="O69" s="28"/>
      <c r="P69" s="24"/>
      <c r="Q69" s="65"/>
      <c r="R69" s="54"/>
      <c r="S69" s="28"/>
      <c r="T69" s="24"/>
      <c r="U69" s="131"/>
    </row>
    <row r="70" spans="1:22" ht="14.4" customHeight="1" thickBot="1" x14ac:dyDescent="0.35">
      <c r="A70" s="136"/>
      <c r="B70" s="54"/>
      <c r="C70" s="28"/>
      <c r="D70" s="45">
        <f>+D68</f>
        <v>21300000</v>
      </c>
      <c r="E70" s="65"/>
      <c r="F70" s="65"/>
      <c r="G70" s="28"/>
      <c r="H70" s="45">
        <f>+H68-G68</f>
        <v>0</v>
      </c>
      <c r="I70" s="65"/>
      <c r="J70" s="65"/>
      <c r="K70" s="28"/>
      <c r="L70" s="45">
        <f>+L68-K68</f>
        <v>16055400</v>
      </c>
      <c r="M70" s="25"/>
      <c r="N70" s="24"/>
      <c r="O70" s="44">
        <f>+O68</f>
        <v>150000000</v>
      </c>
      <c r="P70" s="24"/>
      <c r="Q70" s="24"/>
      <c r="R70" s="25"/>
      <c r="S70" s="44">
        <f>+S68</f>
        <v>280000000</v>
      </c>
      <c r="T70" s="24"/>
      <c r="U70" s="131"/>
    </row>
    <row r="71" spans="1:22" ht="15" thickTop="1" x14ac:dyDescent="0.3">
      <c r="A71" s="136"/>
      <c r="B71" s="54"/>
      <c r="C71" s="24"/>
      <c r="D71" s="24"/>
      <c r="E71" s="65"/>
      <c r="F71" s="65"/>
      <c r="G71" s="24"/>
      <c r="H71" s="24"/>
      <c r="I71" s="65"/>
      <c r="J71" s="65"/>
      <c r="K71" s="24"/>
      <c r="L71" s="24"/>
      <c r="M71" s="54"/>
      <c r="N71" s="65"/>
      <c r="O71" s="24"/>
      <c r="P71" s="24"/>
      <c r="Q71" s="65"/>
      <c r="R71" s="54"/>
      <c r="S71" s="24"/>
      <c r="T71" s="24"/>
      <c r="U71" s="131"/>
    </row>
    <row r="72" spans="1:22" ht="15.6" customHeight="1" x14ac:dyDescent="0.3">
      <c r="A72" s="136"/>
      <c r="B72" s="54"/>
      <c r="C72" s="24"/>
      <c r="D72" s="24"/>
      <c r="E72" s="65"/>
      <c r="F72" s="65"/>
      <c r="G72" s="24"/>
      <c r="H72" s="24"/>
      <c r="I72" s="65"/>
      <c r="J72" s="65"/>
      <c r="K72" s="24"/>
      <c r="L72" s="24"/>
      <c r="M72" s="54"/>
      <c r="N72" s="65"/>
      <c r="O72" s="24"/>
      <c r="P72" s="24"/>
      <c r="Q72" s="65"/>
      <c r="R72" s="54"/>
      <c r="S72" s="24"/>
      <c r="T72" s="24"/>
      <c r="U72" s="131"/>
    </row>
    <row r="73" spans="1:22" ht="14.4" customHeight="1" thickBot="1" x14ac:dyDescent="0.35">
      <c r="A73" s="101"/>
      <c r="B73" s="129"/>
      <c r="C73" s="191" t="s">
        <v>175</v>
      </c>
      <c r="D73" s="191"/>
      <c r="E73" s="65"/>
      <c r="F73" s="65"/>
      <c r="G73" s="191" t="s">
        <v>176</v>
      </c>
      <c r="H73" s="191"/>
      <c r="I73" s="41"/>
      <c r="J73" s="65"/>
      <c r="K73" s="191" t="s">
        <v>187</v>
      </c>
      <c r="L73" s="191"/>
      <c r="M73" s="54"/>
      <c r="N73" s="65"/>
      <c r="O73" s="191" t="s">
        <v>190</v>
      </c>
      <c r="P73" s="191"/>
      <c r="Q73" s="65"/>
      <c r="R73" s="54"/>
      <c r="S73" s="191" t="s">
        <v>201</v>
      </c>
      <c r="T73" s="191"/>
      <c r="U73" s="131"/>
    </row>
    <row r="74" spans="1:22" ht="14.4" customHeight="1" x14ac:dyDescent="0.3">
      <c r="A74" s="128" t="s">
        <v>87</v>
      </c>
      <c r="B74" s="129"/>
      <c r="C74" s="30"/>
      <c r="D74" s="47">
        <f>+P.P.E.!I11</f>
        <v>22319444.444444444</v>
      </c>
      <c r="E74" s="65"/>
      <c r="F74" s="65"/>
      <c r="G74" s="30"/>
      <c r="H74" s="26"/>
      <c r="I74" s="41"/>
      <c r="J74" s="65"/>
      <c r="K74" s="30"/>
      <c r="L74" s="47">
        <f>+'Ptmo Banco'!E7</f>
        <v>292600000</v>
      </c>
      <c r="M74" s="54"/>
      <c r="N74" s="65"/>
      <c r="O74" s="30"/>
      <c r="P74" s="26"/>
      <c r="Q74" s="65"/>
      <c r="R74" s="54"/>
      <c r="S74" s="30"/>
      <c r="T74" s="26"/>
      <c r="U74" s="131"/>
      <c r="V74" s="38"/>
    </row>
    <row r="75" spans="1:22" ht="14.4" customHeight="1" x14ac:dyDescent="0.3">
      <c r="A75" s="132">
        <v>44927</v>
      </c>
      <c r="B75" s="129"/>
      <c r="C75" s="31"/>
      <c r="D75" s="26"/>
      <c r="E75" s="134"/>
      <c r="F75" s="134"/>
      <c r="G75" s="31"/>
      <c r="H75" s="26"/>
      <c r="I75" s="54"/>
      <c r="J75" s="65"/>
      <c r="K75" s="31"/>
      <c r="L75" s="26"/>
      <c r="M75" s="54"/>
      <c r="N75" s="65"/>
      <c r="O75" s="31"/>
      <c r="P75" s="26"/>
      <c r="Q75" s="65"/>
      <c r="R75" s="54"/>
      <c r="S75" s="31"/>
      <c r="T75" s="26"/>
      <c r="U75" s="131"/>
      <c r="V75" s="38"/>
    </row>
    <row r="76" spans="1:22" ht="14.4" customHeight="1" x14ac:dyDescent="0.3">
      <c r="A76" s="132">
        <v>44958</v>
      </c>
      <c r="B76" s="129"/>
      <c r="C76" s="31"/>
      <c r="D76" s="24"/>
      <c r="E76" s="65"/>
      <c r="F76" s="65"/>
      <c r="G76" s="28"/>
      <c r="H76" s="24"/>
      <c r="I76" s="65"/>
      <c r="J76" s="65"/>
      <c r="K76" s="28"/>
      <c r="L76" s="24"/>
      <c r="M76" s="54"/>
      <c r="N76" s="65"/>
      <c r="O76" s="28"/>
      <c r="P76" s="24"/>
      <c r="Q76" s="65"/>
      <c r="R76" s="54"/>
      <c r="S76" s="28"/>
      <c r="T76" s="24"/>
      <c r="U76" s="131"/>
    </row>
    <row r="77" spans="1:22" ht="14.4" customHeight="1" x14ac:dyDescent="0.3">
      <c r="A77" s="132">
        <v>44986</v>
      </c>
      <c r="B77" s="129"/>
      <c r="C77" s="31"/>
      <c r="D77" s="24"/>
      <c r="E77" s="65"/>
      <c r="F77" s="65"/>
      <c r="G77" s="28"/>
      <c r="H77" s="24"/>
      <c r="I77" s="65"/>
      <c r="J77" s="65"/>
      <c r="K77" s="28"/>
      <c r="L77" s="24"/>
      <c r="M77" s="54"/>
      <c r="N77" s="65"/>
      <c r="O77" s="28"/>
      <c r="P77" s="24"/>
      <c r="Q77" s="65"/>
      <c r="R77" s="54"/>
      <c r="S77" s="28"/>
      <c r="T77" s="24"/>
      <c r="U77" s="131"/>
    </row>
    <row r="78" spans="1:22" ht="14.4" customHeight="1" x14ac:dyDescent="0.3">
      <c r="A78" s="132">
        <v>45017</v>
      </c>
      <c r="B78" s="129"/>
      <c r="C78" s="31"/>
      <c r="D78" s="24"/>
      <c r="E78" s="65"/>
      <c r="F78" s="65"/>
      <c r="G78" s="28"/>
      <c r="H78" s="24"/>
      <c r="I78" s="65"/>
      <c r="J78" s="65"/>
      <c r="K78" s="28"/>
      <c r="L78" s="24"/>
      <c r="M78" s="54"/>
      <c r="N78" s="65"/>
      <c r="O78" s="28"/>
      <c r="P78" s="24"/>
      <c r="Q78" s="65"/>
      <c r="R78" s="133" t="s">
        <v>124</v>
      </c>
      <c r="S78" s="62">
        <v>200000000</v>
      </c>
      <c r="T78" s="24"/>
      <c r="U78" s="131"/>
    </row>
    <row r="79" spans="1:22" ht="14.4" customHeight="1" x14ac:dyDescent="0.3">
      <c r="A79" s="132">
        <v>45047</v>
      </c>
      <c r="B79" s="129"/>
      <c r="C79" s="31"/>
      <c r="D79" s="24"/>
      <c r="E79" s="65"/>
      <c r="F79" s="65"/>
      <c r="G79" s="28"/>
      <c r="H79" s="24"/>
      <c r="I79" s="65"/>
      <c r="J79" s="65"/>
      <c r="K79" s="28"/>
      <c r="L79" s="24"/>
      <c r="M79" s="54"/>
      <c r="N79" s="65"/>
      <c r="O79" s="28"/>
      <c r="P79" s="24"/>
      <c r="Q79" s="65"/>
      <c r="R79" s="54"/>
      <c r="S79" s="28"/>
      <c r="T79" s="24"/>
      <c r="U79" s="131"/>
    </row>
    <row r="80" spans="1:22" ht="14.4" customHeight="1" x14ac:dyDescent="0.3">
      <c r="A80" s="132">
        <v>45078</v>
      </c>
      <c r="B80" s="129"/>
      <c r="C80" s="31"/>
      <c r="D80" s="26"/>
      <c r="E80" s="65"/>
      <c r="F80" s="65"/>
      <c r="G80" s="31"/>
      <c r="H80" s="26"/>
      <c r="I80" s="65"/>
      <c r="J80" s="133" t="s">
        <v>147</v>
      </c>
      <c r="K80" s="31">
        <f>-'Ptmo Banco'!E10</f>
        <v>31266666.666666668</v>
      </c>
      <c r="L80" s="24"/>
      <c r="M80" s="54"/>
      <c r="N80" s="65"/>
      <c r="O80" s="31"/>
      <c r="P80" s="24"/>
      <c r="Q80" s="65"/>
      <c r="R80" s="54"/>
      <c r="S80" s="28"/>
      <c r="T80" s="24"/>
      <c r="U80" s="131"/>
    </row>
    <row r="81" spans="1:22" ht="14.4" customHeight="1" x14ac:dyDescent="0.3">
      <c r="A81" s="135" t="s">
        <v>88</v>
      </c>
      <c r="B81" s="54"/>
      <c r="C81" s="28"/>
      <c r="D81" s="140">
        <f>+G81</f>
        <v>26508680.555555556</v>
      </c>
      <c r="E81" s="54" t="str">
        <f>+F81</f>
        <v>CTx1</v>
      </c>
      <c r="F81" s="54" t="s">
        <v>177</v>
      </c>
      <c r="G81" s="62">
        <f>+P.P.E.!J24</f>
        <v>26508680.555555556</v>
      </c>
      <c r="H81" s="24"/>
      <c r="I81" s="65"/>
      <c r="J81" s="65"/>
      <c r="K81" s="64"/>
      <c r="L81" s="140">
        <f>+O81</f>
        <v>10241000.000000002</v>
      </c>
      <c r="M81" s="54" t="str">
        <f>+N81</f>
        <v>CTx2</v>
      </c>
      <c r="N81" s="54" t="s">
        <v>191</v>
      </c>
      <c r="O81" s="62">
        <f>+'Ptmo Banco'!E9</f>
        <v>10241000.000000002</v>
      </c>
      <c r="P81" s="24"/>
      <c r="Q81" s="65"/>
      <c r="R81" s="54" t="s">
        <v>204</v>
      </c>
      <c r="S81" s="62">
        <f>+T95</f>
        <v>23450000</v>
      </c>
      <c r="T81" s="24"/>
      <c r="U81" s="131"/>
    </row>
    <row r="82" spans="1:22" ht="14.4" customHeight="1" x14ac:dyDescent="0.3">
      <c r="A82" s="136"/>
      <c r="B82" s="54"/>
      <c r="C82" s="37">
        <f>SUM(C74:C81)</f>
        <v>0</v>
      </c>
      <c r="D82" s="37">
        <f>SUM(D74:D81)</f>
        <v>48828125</v>
      </c>
      <c r="E82" s="65"/>
      <c r="F82" s="65"/>
      <c r="G82" s="37">
        <f>SUM(G74:G81)</f>
        <v>26508680.555555556</v>
      </c>
      <c r="H82" s="37">
        <f>SUM(H74:H81)</f>
        <v>0</v>
      </c>
      <c r="I82" s="65"/>
      <c r="J82" s="65"/>
      <c r="K82" s="37">
        <f>SUM(K74:K81)</f>
        <v>31266666.666666668</v>
      </c>
      <c r="L82" s="37">
        <f>SUM(L74:L81)</f>
        <v>302841000</v>
      </c>
      <c r="M82" s="54"/>
      <c r="N82" s="65"/>
      <c r="O82" s="37">
        <f>SUM(O74:O81)</f>
        <v>10241000.000000002</v>
      </c>
      <c r="P82" s="37">
        <f>SUM(P74:P81)</f>
        <v>0</v>
      </c>
      <c r="Q82" s="65"/>
      <c r="R82" s="54"/>
      <c r="S82" s="37">
        <f>SUM(S74:S81)</f>
        <v>223450000</v>
      </c>
      <c r="T82" s="37">
        <f>SUM(T74:T81)</f>
        <v>0</v>
      </c>
      <c r="U82" s="131"/>
    </row>
    <row r="83" spans="1:22" ht="14.4" customHeight="1" x14ac:dyDescent="0.3">
      <c r="A83" s="136"/>
      <c r="B83" s="54"/>
      <c r="C83" s="28"/>
      <c r="D83" s="24"/>
      <c r="E83" s="65"/>
      <c r="F83" s="65"/>
      <c r="G83" s="28"/>
      <c r="H83" s="24"/>
      <c r="I83" s="65"/>
      <c r="J83" s="65"/>
      <c r="K83" s="28"/>
      <c r="L83" s="24"/>
      <c r="M83" s="54"/>
      <c r="N83" s="65"/>
      <c r="O83" s="28"/>
      <c r="P83" s="24"/>
      <c r="Q83" s="65"/>
      <c r="R83" s="54"/>
      <c r="S83" s="28"/>
      <c r="T83" s="24"/>
      <c r="U83" s="131"/>
    </row>
    <row r="84" spans="1:22" ht="14.4" customHeight="1" thickBot="1" x14ac:dyDescent="0.35">
      <c r="A84" s="136"/>
      <c r="B84" s="54"/>
      <c r="C84" s="28"/>
      <c r="D84" s="45">
        <f>+D82</f>
        <v>48828125</v>
      </c>
      <c r="E84" s="54"/>
      <c r="F84" s="54"/>
      <c r="G84" s="44">
        <f>+G82</f>
        <v>26508680.555555556</v>
      </c>
      <c r="H84" s="54"/>
      <c r="I84" s="54"/>
      <c r="J84" s="54"/>
      <c r="K84" s="28"/>
      <c r="L84" s="45">
        <f>+L82-K82</f>
        <v>271574333.33333331</v>
      </c>
      <c r="M84" s="54"/>
      <c r="N84" s="54"/>
      <c r="O84" s="44">
        <f>+O82</f>
        <v>10241000.000000002</v>
      </c>
      <c r="P84" s="54"/>
      <c r="Q84" s="54"/>
      <c r="R84" s="54"/>
      <c r="S84" s="44">
        <f>+S82</f>
        <v>223450000</v>
      </c>
      <c r="T84" s="54"/>
      <c r="U84" s="131"/>
    </row>
    <row r="85" spans="1:22" ht="15" thickTop="1" x14ac:dyDescent="0.3">
      <c r="A85" s="136"/>
      <c r="B85" s="54"/>
      <c r="C85" s="24"/>
      <c r="D85" s="24"/>
      <c r="E85" s="65"/>
      <c r="F85" s="65"/>
      <c r="G85" s="24"/>
      <c r="H85" s="24"/>
      <c r="I85" s="65"/>
      <c r="J85" s="65"/>
      <c r="K85" s="24"/>
      <c r="L85" s="24"/>
      <c r="M85" s="54"/>
      <c r="N85" s="65"/>
      <c r="O85" s="24"/>
      <c r="P85" s="24"/>
      <c r="Q85" s="65"/>
      <c r="R85" s="65"/>
      <c r="S85" s="65"/>
      <c r="T85" s="24"/>
      <c r="U85" s="131"/>
    </row>
    <row r="86" spans="1:22" x14ac:dyDescent="0.3">
      <c r="A86" s="136"/>
      <c r="B86" s="54"/>
      <c r="C86" s="24"/>
      <c r="D86" s="24"/>
      <c r="E86" s="65"/>
      <c r="F86" s="65"/>
      <c r="G86" s="24"/>
      <c r="H86" s="24"/>
      <c r="I86" s="65"/>
      <c r="J86" s="65"/>
      <c r="K86" s="24"/>
      <c r="L86" s="24"/>
      <c r="M86" s="54"/>
      <c r="N86" s="65"/>
      <c r="O86" s="24"/>
      <c r="P86" s="24"/>
      <c r="Q86" s="65"/>
      <c r="R86" s="54"/>
      <c r="S86" s="24"/>
      <c r="T86" s="24"/>
      <c r="U86" s="131"/>
    </row>
    <row r="87" spans="1:22" ht="14.4" customHeight="1" thickBot="1" x14ac:dyDescent="0.35">
      <c r="A87" s="101"/>
      <c r="B87" s="129"/>
      <c r="C87" s="191" t="s">
        <v>197</v>
      </c>
      <c r="D87" s="191"/>
      <c r="E87" s="65"/>
      <c r="F87" s="65"/>
      <c r="G87" s="191" t="s">
        <v>198</v>
      </c>
      <c r="H87" s="191"/>
      <c r="I87" s="41"/>
      <c r="J87" s="65"/>
      <c r="K87" s="191" t="s">
        <v>199</v>
      </c>
      <c r="L87" s="191"/>
      <c r="M87" s="54"/>
      <c r="N87" s="65"/>
      <c r="O87" s="191" t="s">
        <v>200</v>
      </c>
      <c r="P87" s="191"/>
      <c r="Q87" s="65"/>
      <c r="R87" s="54"/>
      <c r="S87" s="191" t="s">
        <v>202</v>
      </c>
      <c r="T87" s="191"/>
      <c r="U87" s="131"/>
    </row>
    <row r="88" spans="1:22" ht="14.4" customHeight="1" x14ac:dyDescent="0.3">
      <c r="A88" s="128" t="s">
        <v>87</v>
      </c>
      <c r="B88" s="129"/>
      <c r="C88" s="30"/>
      <c r="D88" s="26"/>
      <c r="E88" s="65"/>
      <c r="F88" s="65"/>
      <c r="G88" s="30"/>
      <c r="H88" s="26"/>
      <c r="I88" s="41"/>
      <c r="J88" s="65"/>
      <c r="K88" s="30"/>
      <c r="L88" s="26"/>
      <c r="M88" s="54"/>
      <c r="N88" s="65"/>
      <c r="O88" s="30"/>
      <c r="P88" s="26"/>
      <c r="Q88" s="65"/>
      <c r="R88" s="54"/>
      <c r="S88" s="30"/>
      <c r="T88" s="26"/>
      <c r="U88" s="131"/>
      <c r="V88" s="38"/>
    </row>
    <row r="89" spans="1:22" ht="14.4" customHeight="1" x14ac:dyDescent="0.3">
      <c r="A89" s="132">
        <v>44927</v>
      </c>
      <c r="B89" s="129"/>
      <c r="C89" s="31"/>
      <c r="D89" s="26"/>
      <c r="E89" s="134"/>
      <c r="F89" s="134"/>
      <c r="G89" s="31"/>
      <c r="H89" s="26"/>
      <c r="I89" s="54"/>
      <c r="J89" s="65"/>
      <c r="K89" s="31"/>
      <c r="L89" s="26"/>
      <c r="M89" s="54"/>
      <c r="N89" s="65"/>
      <c r="O89" s="31"/>
      <c r="P89" s="26"/>
      <c r="Q89" s="65"/>
      <c r="R89" s="54"/>
      <c r="S89" s="31"/>
      <c r="T89" s="26"/>
      <c r="U89" s="131"/>
      <c r="V89" s="38"/>
    </row>
    <row r="90" spans="1:22" ht="14.4" customHeight="1" x14ac:dyDescent="0.3">
      <c r="A90" s="132">
        <v>44958</v>
      </c>
      <c r="B90" s="129"/>
      <c r="C90" s="31"/>
      <c r="D90" s="24"/>
      <c r="E90" s="65"/>
      <c r="F90" s="65"/>
      <c r="G90" s="28"/>
      <c r="H90" s="24"/>
      <c r="I90" s="65"/>
      <c r="J90" s="65"/>
      <c r="K90" s="28"/>
      <c r="L90" s="24"/>
      <c r="M90" s="54"/>
      <c r="N90" s="65"/>
      <c r="O90" s="28"/>
      <c r="P90" s="24"/>
      <c r="Q90" s="65"/>
      <c r="R90" s="54"/>
      <c r="S90" s="28"/>
      <c r="T90" s="24"/>
      <c r="U90" s="131"/>
    </row>
    <row r="91" spans="1:22" ht="14.4" customHeight="1" x14ac:dyDescent="0.3">
      <c r="A91" s="132">
        <v>44986</v>
      </c>
      <c r="B91" s="129"/>
      <c r="C91" s="31"/>
      <c r="D91" s="24"/>
      <c r="E91" s="65"/>
      <c r="F91" s="65"/>
      <c r="G91" s="28"/>
      <c r="H91" s="24"/>
      <c r="I91" s="65"/>
      <c r="J91" s="65"/>
      <c r="K91" s="28"/>
      <c r="L91" s="24"/>
      <c r="M91" s="54"/>
      <c r="N91" s="65"/>
      <c r="O91" s="28"/>
      <c r="P91" s="24"/>
      <c r="Q91" s="65"/>
      <c r="R91" s="54"/>
      <c r="S91" s="28"/>
      <c r="T91" s="24"/>
      <c r="U91" s="131"/>
    </row>
    <row r="92" spans="1:22" ht="14.4" customHeight="1" x14ac:dyDescent="0.3">
      <c r="A92" s="132">
        <v>45017</v>
      </c>
      <c r="B92" s="129"/>
      <c r="C92" s="31"/>
      <c r="D92" s="24"/>
      <c r="E92" s="65"/>
      <c r="F92" s="65"/>
      <c r="G92" s="28"/>
      <c r="H92" s="24"/>
      <c r="I92" s="65"/>
      <c r="J92" s="65"/>
      <c r="K92" s="28"/>
      <c r="L92" s="24"/>
      <c r="M92" s="54"/>
      <c r="N92" s="65"/>
      <c r="O92" s="28"/>
      <c r="P92" s="24"/>
      <c r="Q92" s="65"/>
      <c r="R92" s="54"/>
      <c r="S92" s="28"/>
      <c r="T92" s="24"/>
      <c r="U92" s="131"/>
    </row>
    <row r="93" spans="1:22" ht="14.4" customHeight="1" x14ac:dyDescent="0.3">
      <c r="A93" s="132">
        <v>45047</v>
      </c>
      <c r="B93" s="129"/>
      <c r="C93" s="31"/>
      <c r="D93" s="24"/>
      <c r="E93" s="65"/>
      <c r="F93" s="65"/>
      <c r="G93" s="28"/>
      <c r="H93" s="24"/>
      <c r="I93" s="65"/>
      <c r="J93" s="65"/>
      <c r="K93" s="28"/>
      <c r="L93" s="24"/>
      <c r="M93" s="54"/>
      <c r="N93" s="65"/>
      <c r="O93" s="28"/>
      <c r="P93" s="24"/>
      <c r="Q93" s="65"/>
      <c r="R93" s="54"/>
      <c r="S93" s="28"/>
      <c r="T93" s="24"/>
      <c r="U93" s="131"/>
    </row>
    <row r="94" spans="1:22" ht="14.4" customHeight="1" x14ac:dyDescent="0.3">
      <c r="A94" s="132">
        <v>45078</v>
      </c>
      <c r="B94" s="129"/>
      <c r="C94" s="31"/>
      <c r="D94" s="26"/>
      <c r="E94" s="65"/>
      <c r="F94" s="65"/>
      <c r="G94" s="31"/>
      <c r="H94" s="26"/>
      <c r="I94" s="65"/>
      <c r="J94" s="65"/>
      <c r="K94" s="31"/>
      <c r="L94" s="24"/>
      <c r="M94" s="54"/>
      <c r="N94" s="65"/>
      <c r="O94" s="31"/>
      <c r="P94" s="24"/>
      <c r="Q94" s="65"/>
      <c r="R94" s="54"/>
      <c r="S94" s="28"/>
      <c r="T94" s="24"/>
      <c r="U94" s="131"/>
    </row>
    <row r="95" spans="1:22" ht="14.4" customHeight="1" x14ac:dyDescent="0.3">
      <c r="A95" s="135" t="s">
        <v>88</v>
      </c>
      <c r="B95" s="54" t="s">
        <v>208</v>
      </c>
      <c r="C95" s="62">
        <f>400000000*28%</f>
        <v>112000000.00000001</v>
      </c>
      <c r="D95" s="140"/>
      <c r="E95" s="54"/>
      <c r="F95" s="54"/>
      <c r="G95" s="62"/>
      <c r="H95" s="140">
        <f>+C95</f>
        <v>112000000.00000001</v>
      </c>
      <c r="I95" s="54" t="s">
        <v>208</v>
      </c>
      <c r="J95" s="54" t="s">
        <v>205</v>
      </c>
      <c r="K95" s="62">
        <v>20000000</v>
      </c>
      <c r="L95" s="140"/>
      <c r="M95" s="54"/>
      <c r="N95" s="54"/>
      <c r="O95" s="62"/>
      <c r="P95" s="141">
        <f>+K95</f>
        <v>20000000</v>
      </c>
      <c r="Q95" s="54" t="s">
        <v>205</v>
      </c>
      <c r="R95" s="54"/>
      <c r="S95" s="28"/>
      <c r="T95" s="141">
        <v>23450000</v>
      </c>
      <c r="U95" s="139" t="s">
        <v>204</v>
      </c>
    </row>
    <row r="96" spans="1:22" ht="14.4" customHeight="1" x14ac:dyDescent="0.3">
      <c r="A96" s="136"/>
      <c r="B96" s="54"/>
      <c r="C96" s="37">
        <f>SUM(C88:C95)</f>
        <v>112000000.00000001</v>
      </c>
      <c r="D96" s="37">
        <f>SUM(D88:D95)</f>
        <v>0</v>
      </c>
      <c r="E96" s="65"/>
      <c r="F96" s="65"/>
      <c r="G96" s="37">
        <f>SUM(G88:G95)</f>
        <v>0</v>
      </c>
      <c r="H96" s="37">
        <f>SUM(H88:H95)</f>
        <v>112000000.00000001</v>
      </c>
      <c r="I96" s="65"/>
      <c r="J96" s="65"/>
      <c r="K96" s="37">
        <f>SUM(K88:K95)</f>
        <v>20000000</v>
      </c>
      <c r="L96" s="37">
        <f>SUM(L88:L95)</f>
        <v>0</v>
      </c>
      <c r="M96" s="54"/>
      <c r="N96" s="65"/>
      <c r="O96" s="37">
        <f>SUM(O88:O95)</f>
        <v>0</v>
      </c>
      <c r="P96" s="37">
        <f>SUM(P88:P95)</f>
        <v>20000000</v>
      </c>
      <c r="Q96" s="65"/>
      <c r="R96" s="54"/>
      <c r="S96" s="37">
        <f>SUM(S88:S95)</f>
        <v>0</v>
      </c>
      <c r="T96" s="37">
        <f>SUM(T88:T95)</f>
        <v>23450000</v>
      </c>
      <c r="U96" s="131"/>
    </row>
    <row r="97" spans="1:21" ht="14.4" customHeight="1" x14ac:dyDescent="0.3">
      <c r="A97" s="136"/>
      <c r="B97" s="54"/>
      <c r="C97" s="28"/>
      <c r="D97" s="24"/>
      <c r="E97" s="65"/>
      <c r="F97" s="65"/>
      <c r="G97" s="28"/>
      <c r="H97" s="24"/>
      <c r="I97" s="65"/>
      <c r="J97" s="65"/>
      <c r="K97" s="28"/>
      <c r="L97" s="24"/>
      <c r="M97" s="54"/>
      <c r="N97" s="65"/>
      <c r="O97" s="28"/>
      <c r="P97" s="24"/>
      <c r="Q97" s="65"/>
      <c r="R97" s="54"/>
      <c r="S97" s="28"/>
      <c r="T97" s="24"/>
      <c r="U97" s="131"/>
    </row>
    <row r="98" spans="1:21" s="24" customFormat="1" ht="14.4" customHeight="1" thickBot="1" x14ac:dyDescent="0.35">
      <c r="A98" s="142"/>
      <c r="B98" s="143"/>
      <c r="C98" s="89">
        <f>+C96</f>
        <v>112000000.00000001</v>
      </c>
      <c r="D98" s="16"/>
      <c r="E98" s="16"/>
      <c r="F98" s="16"/>
      <c r="G98" s="16"/>
      <c r="H98" s="144">
        <f>+H96</f>
        <v>112000000.00000001</v>
      </c>
      <c r="I98" s="16"/>
      <c r="J98" s="16"/>
      <c r="K98" s="89">
        <f>+K96</f>
        <v>20000000</v>
      </c>
      <c r="L98" s="16"/>
      <c r="M98" s="16"/>
      <c r="N98" s="16"/>
      <c r="O98" s="16"/>
      <c r="P98" s="89">
        <f>+P96</f>
        <v>20000000</v>
      </c>
      <c r="Q98" s="16"/>
      <c r="R98" s="16"/>
      <c r="S98" s="16"/>
      <c r="T98" s="89">
        <f>+T96</f>
        <v>23450000</v>
      </c>
      <c r="U98" s="145"/>
    </row>
    <row r="99" spans="1:21" s="24" customFormat="1" ht="14.4" customHeight="1" x14ac:dyDescent="0.3">
      <c r="A99" s="25"/>
      <c r="B99" s="54"/>
      <c r="U99" s="65"/>
    </row>
    <row r="100" spans="1:21" s="24" customFormat="1" ht="14.4" customHeight="1" x14ac:dyDescent="0.3">
      <c r="A100" s="25"/>
      <c r="B100" s="54"/>
      <c r="U100" s="65"/>
    </row>
    <row r="101" spans="1:21" ht="15" thickBot="1" x14ac:dyDescent="0.35"/>
    <row r="102" spans="1:21" s="2" customFormat="1" x14ac:dyDescent="0.3">
      <c r="B102" s="149" t="s">
        <v>206</v>
      </c>
      <c r="C102" s="69" t="s">
        <v>207</v>
      </c>
      <c r="D102" s="69"/>
      <c r="E102" s="123"/>
      <c r="F102" s="123"/>
      <c r="G102" s="69" t="s">
        <v>137</v>
      </c>
      <c r="H102" s="69" t="s">
        <v>138</v>
      </c>
      <c r="I102" s="123"/>
      <c r="J102" s="123"/>
      <c r="K102" s="69" t="s">
        <v>139</v>
      </c>
      <c r="L102" s="69" t="s">
        <v>140</v>
      </c>
      <c r="M102" s="123"/>
      <c r="N102" s="123"/>
      <c r="O102" s="69" t="s">
        <v>150</v>
      </c>
      <c r="P102" s="69" t="s">
        <v>151</v>
      </c>
      <c r="Q102" s="123"/>
      <c r="R102" s="123"/>
      <c r="S102" s="69" t="s">
        <v>35</v>
      </c>
      <c r="T102" s="69" t="s">
        <v>36</v>
      </c>
      <c r="U102" s="150"/>
    </row>
    <row r="103" spans="1:21" x14ac:dyDescent="0.3">
      <c r="B103" s="151"/>
      <c r="C103" s="24"/>
      <c r="D103" s="24"/>
      <c r="E103" s="65"/>
      <c r="F103" s="65"/>
      <c r="G103" s="24"/>
      <c r="H103" s="24"/>
      <c r="I103" s="65"/>
      <c r="J103" s="65"/>
      <c r="K103" s="24"/>
      <c r="L103" s="24"/>
      <c r="M103" s="54"/>
      <c r="N103" s="65"/>
      <c r="O103" s="24"/>
      <c r="P103" s="24"/>
      <c r="Q103" s="65"/>
      <c r="R103" s="54"/>
      <c r="S103" s="24"/>
      <c r="T103" s="24"/>
      <c r="U103" s="131"/>
    </row>
    <row r="104" spans="1:21" x14ac:dyDescent="0.3">
      <c r="B104" s="151">
        <v>1</v>
      </c>
      <c r="C104" s="24" t="str">
        <f>+C3</f>
        <v>Clientes</v>
      </c>
      <c r="D104" s="24"/>
      <c r="E104" s="65"/>
      <c r="F104" s="65"/>
      <c r="G104" s="26">
        <f>+C12</f>
        <v>1393980736.9000001</v>
      </c>
      <c r="H104" s="26">
        <f>+D12</f>
        <v>734050636.89999998</v>
      </c>
      <c r="I104" s="65"/>
      <c r="J104" s="65"/>
      <c r="K104" s="26">
        <f t="shared" ref="K104:K139" si="7">IF(G104&gt;H104,G104-H104,0)</f>
        <v>659930100.00000012</v>
      </c>
      <c r="L104" s="26">
        <f t="shared" ref="L104:L139" si="8">IF(G104&lt;H104,H104-G104,0)</f>
        <v>0</v>
      </c>
      <c r="M104" s="54"/>
      <c r="N104" s="65"/>
      <c r="O104" s="26">
        <f>IF(B104=1,K104,0)</f>
        <v>659930100.00000012</v>
      </c>
      <c r="P104" s="26">
        <f>IF(B104=2,L104,0)</f>
        <v>0</v>
      </c>
      <c r="Q104" s="65"/>
      <c r="R104" s="54"/>
      <c r="S104" s="26">
        <f>IF(B104=5,K104,0)</f>
        <v>0</v>
      </c>
      <c r="T104" s="26">
        <f>IF(B104=4,L104,0)</f>
        <v>0</v>
      </c>
      <c r="U104" s="131"/>
    </row>
    <row r="105" spans="1:21" x14ac:dyDescent="0.3">
      <c r="B105" s="151">
        <v>4</v>
      </c>
      <c r="C105" s="24" t="str">
        <f>+G3</f>
        <v>Ventas</v>
      </c>
      <c r="D105" s="24"/>
      <c r="E105" s="65"/>
      <c r="F105" s="65"/>
      <c r="G105" s="26">
        <f>+G12</f>
        <v>0</v>
      </c>
      <c r="H105" s="26">
        <f>+H12</f>
        <v>1135353510</v>
      </c>
      <c r="I105" s="65"/>
      <c r="J105" s="65"/>
      <c r="K105" s="26">
        <f t="shared" si="7"/>
        <v>0</v>
      </c>
      <c r="L105" s="26">
        <f t="shared" si="8"/>
        <v>1135353510</v>
      </c>
      <c r="M105" s="54"/>
      <c r="N105" s="65"/>
      <c r="O105" s="26">
        <f t="shared" ref="O105:O138" si="9">IF(B105=1,K105,0)</f>
        <v>0</v>
      </c>
      <c r="P105" s="26">
        <f t="shared" ref="P105:P139" si="10">IF(B105=2,L105,0)</f>
        <v>0</v>
      </c>
      <c r="Q105" s="65"/>
      <c r="R105" s="54"/>
      <c r="S105" s="26">
        <f t="shared" ref="S105:S139" si="11">IF(B105=5,K105,0)</f>
        <v>0</v>
      </c>
      <c r="T105" s="26">
        <f t="shared" ref="T105:T139" si="12">IF(B105=4,L105,0)</f>
        <v>1135353510</v>
      </c>
      <c r="U105" s="131"/>
    </row>
    <row r="106" spans="1:21" x14ac:dyDescent="0.3">
      <c r="B106" s="151">
        <v>2</v>
      </c>
      <c r="C106" s="24" t="str">
        <f>+K3</f>
        <v>IVA DF</v>
      </c>
      <c r="D106" s="24"/>
      <c r="E106" s="65"/>
      <c r="F106" s="65"/>
      <c r="G106" s="26">
        <f>+K12</f>
        <v>51199586.899999999</v>
      </c>
      <c r="H106" s="26">
        <f>+L12</f>
        <v>149667086.90000001</v>
      </c>
      <c r="I106" s="65"/>
      <c r="J106" s="65"/>
      <c r="K106" s="26">
        <f t="shared" si="7"/>
        <v>0</v>
      </c>
      <c r="L106" s="26">
        <f t="shared" si="8"/>
        <v>98467500</v>
      </c>
      <c r="M106" s="54"/>
      <c r="N106" s="65"/>
      <c r="O106" s="26">
        <f t="shared" si="9"/>
        <v>0</v>
      </c>
      <c r="P106" s="26">
        <f t="shared" si="10"/>
        <v>98467500</v>
      </c>
      <c r="Q106" s="65"/>
      <c r="R106" s="54"/>
      <c r="S106" s="26">
        <f t="shared" si="11"/>
        <v>0</v>
      </c>
      <c r="T106" s="26">
        <f t="shared" si="12"/>
        <v>0</v>
      </c>
      <c r="U106" s="131"/>
    </row>
    <row r="107" spans="1:21" x14ac:dyDescent="0.3">
      <c r="B107" s="151">
        <v>3</v>
      </c>
      <c r="C107" s="24" t="str">
        <f>+O3</f>
        <v>Capital</v>
      </c>
      <c r="D107" s="24"/>
      <c r="E107" s="65"/>
      <c r="F107" s="65"/>
      <c r="G107" s="26">
        <f>+O12</f>
        <v>0</v>
      </c>
      <c r="H107" s="26">
        <f>+P12</f>
        <v>435000000</v>
      </c>
      <c r="I107" s="65"/>
      <c r="J107" s="65"/>
      <c r="K107" s="26">
        <f t="shared" si="7"/>
        <v>0</v>
      </c>
      <c r="L107" s="26">
        <f t="shared" si="8"/>
        <v>435000000</v>
      </c>
      <c r="M107" s="54"/>
      <c r="N107" s="65"/>
      <c r="O107" s="26">
        <f t="shared" si="9"/>
        <v>0</v>
      </c>
      <c r="P107" s="152">
        <f>+H107</f>
        <v>435000000</v>
      </c>
      <c r="Q107" s="65"/>
      <c r="R107" s="54"/>
      <c r="S107" s="26">
        <f t="shared" si="11"/>
        <v>0</v>
      </c>
      <c r="T107" s="26">
        <f t="shared" si="12"/>
        <v>0</v>
      </c>
      <c r="U107" s="131"/>
    </row>
    <row r="108" spans="1:21" x14ac:dyDescent="0.3">
      <c r="B108" s="151">
        <v>3</v>
      </c>
      <c r="C108" s="24" t="str">
        <f>+S3</f>
        <v>Resultados Acumulado</v>
      </c>
      <c r="D108" s="24"/>
      <c r="E108" s="65"/>
      <c r="F108" s="65"/>
      <c r="G108" s="26">
        <f>+S12</f>
        <v>0</v>
      </c>
      <c r="H108" s="26">
        <f>+T12</f>
        <v>191161195.55555555</v>
      </c>
      <c r="I108" s="65"/>
      <c r="J108" s="65"/>
      <c r="K108" s="26">
        <f t="shared" si="7"/>
        <v>0</v>
      </c>
      <c r="L108" s="26">
        <f t="shared" si="8"/>
        <v>191161195.55555555</v>
      </c>
      <c r="M108" s="54"/>
      <c r="N108" s="65"/>
      <c r="O108" s="26">
        <f t="shared" si="9"/>
        <v>0</v>
      </c>
      <c r="P108" s="152">
        <f>+H108</f>
        <v>191161195.55555555</v>
      </c>
      <c r="Q108" s="65"/>
      <c r="R108" s="54"/>
      <c r="S108" s="26">
        <f t="shared" si="11"/>
        <v>0</v>
      </c>
      <c r="T108" s="26">
        <f t="shared" si="12"/>
        <v>0</v>
      </c>
      <c r="U108" s="131"/>
    </row>
    <row r="109" spans="1:21" x14ac:dyDescent="0.3">
      <c r="B109" s="151">
        <v>5</v>
      </c>
      <c r="C109" s="24" t="str">
        <f>+C17</f>
        <v>Asesorias</v>
      </c>
      <c r="D109" s="24"/>
      <c r="E109" s="65"/>
      <c r="F109" s="65"/>
      <c r="G109" s="26">
        <f>+C26</f>
        <v>55700000</v>
      </c>
      <c r="H109" s="26">
        <f>+D26</f>
        <v>0</v>
      </c>
      <c r="I109" s="65"/>
      <c r="J109" s="65"/>
      <c r="K109" s="26">
        <f t="shared" si="7"/>
        <v>55700000</v>
      </c>
      <c r="L109" s="26">
        <f t="shared" si="8"/>
        <v>0</v>
      </c>
      <c r="M109" s="54"/>
      <c r="N109" s="65"/>
      <c r="O109" s="26">
        <f t="shared" si="9"/>
        <v>0</v>
      </c>
      <c r="P109" s="26">
        <f t="shared" si="10"/>
        <v>0</v>
      </c>
      <c r="Q109" s="65"/>
      <c r="R109" s="54"/>
      <c r="S109" s="26">
        <f t="shared" si="11"/>
        <v>55700000</v>
      </c>
      <c r="T109" s="26">
        <f t="shared" si="12"/>
        <v>0</v>
      </c>
      <c r="U109" s="131"/>
    </row>
    <row r="110" spans="1:21" x14ac:dyDescent="0.3">
      <c r="B110" s="151">
        <v>5</v>
      </c>
      <c r="C110" s="24" t="str">
        <f>+G17</f>
        <v>Servicios computacionales</v>
      </c>
      <c r="D110" s="24"/>
      <c r="E110" s="65"/>
      <c r="F110" s="65"/>
      <c r="G110" s="26">
        <f>+G26</f>
        <v>12300000</v>
      </c>
      <c r="H110" s="26">
        <f>+H26</f>
        <v>0</v>
      </c>
      <c r="I110" s="65"/>
      <c r="J110" s="65"/>
      <c r="K110" s="26">
        <f t="shared" si="7"/>
        <v>12300000</v>
      </c>
      <c r="L110" s="26">
        <f t="shared" si="8"/>
        <v>0</v>
      </c>
      <c r="M110" s="54"/>
      <c r="N110" s="65"/>
      <c r="O110" s="26">
        <f t="shared" si="9"/>
        <v>0</v>
      </c>
      <c r="P110" s="26">
        <f t="shared" si="10"/>
        <v>0</v>
      </c>
      <c r="Q110" s="65"/>
      <c r="R110" s="54"/>
      <c r="S110" s="26">
        <f t="shared" si="11"/>
        <v>12300000</v>
      </c>
      <c r="T110" s="26">
        <f t="shared" si="12"/>
        <v>0</v>
      </c>
      <c r="U110" s="131"/>
    </row>
    <row r="111" spans="1:21" x14ac:dyDescent="0.3">
      <c r="B111" s="151">
        <v>1</v>
      </c>
      <c r="C111" s="24" t="str">
        <f>+K17</f>
        <v>Muebles y ütiles (PPE)</v>
      </c>
      <c r="D111" s="24"/>
      <c r="E111" s="65"/>
      <c r="F111" s="65"/>
      <c r="G111" s="26">
        <f>+K26</f>
        <v>59350000</v>
      </c>
      <c r="H111" s="26">
        <f>+L26</f>
        <v>0</v>
      </c>
      <c r="I111" s="65"/>
      <c r="J111" s="65"/>
      <c r="K111" s="26">
        <f t="shared" si="7"/>
        <v>59350000</v>
      </c>
      <c r="L111" s="26">
        <f t="shared" si="8"/>
        <v>0</v>
      </c>
      <c r="M111" s="54"/>
      <c r="N111" s="65"/>
      <c r="O111" s="26">
        <f t="shared" si="9"/>
        <v>59350000</v>
      </c>
      <c r="P111" s="26">
        <f t="shared" si="10"/>
        <v>0</v>
      </c>
      <c r="Q111" s="65"/>
      <c r="R111" s="54"/>
      <c r="S111" s="26">
        <f t="shared" si="11"/>
        <v>0</v>
      </c>
      <c r="T111" s="26">
        <f t="shared" si="12"/>
        <v>0</v>
      </c>
      <c r="U111" s="131"/>
    </row>
    <row r="112" spans="1:21" x14ac:dyDescent="0.3">
      <c r="B112" s="151">
        <v>2</v>
      </c>
      <c r="C112" s="24" t="str">
        <f>+O17</f>
        <v>Proveedores</v>
      </c>
      <c r="D112" s="24"/>
      <c r="E112" s="65"/>
      <c r="F112" s="65"/>
      <c r="G112" s="26">
        <f>+O26</f>
        <v>211561800</v>
      </c>
      <c r="H112" s="26">
        <f>+P26</f>
        <v>563430955</v>
      </c>
      <c r="I112" s="65"/>
      <c r="J112" s="65"/>
      <c r="K112" s="26">
        <f t="shared" si="7"/>
        <v>0</v>
      </c>
      <c r="L112" s="26">
        <f t="shared" si="8"/>
        <v>351869155</v>
      </c>
      <c r="M112" s="54"/>
      <c r="N112" s="65"/>
      <c r="O112" s="26">
        <f t="shared" si="9"/>
        <v>0</v>
      </c>
      <c r="P112" s="26">
        <f t="shared" si="10"/>
        <v>351869155</v>
      </c>
      <c r="Q112" s="65"/>
      <c r="R112" s="54"/>
      <c r="S112" s="26">
        <f t="shared" si="11"/>
        <v>0</v>
      </c>
      <c r="T112" s="26">
        <f t="shared" si="12"/>
        <v>0</v>
      </c>
      <c r="U112" s="131"/>
    </row>
    <row r="113" spans="2:21" x14ac:dyDescent="0.3">
      <c r="B113" s="151">
        <v>1</v>
      </c>
      <c r="C113" s="24" t="str">
        <f>+S17</f>
        <v>IVA CF</v>
      </c>
      <c r="D113" s="24"/>
      <c r="E113" s="65"/>
      <c r="F113" s="65"/>
      <c r="G113" s="26">
        <f>+S26</f>
        <v>81356955</v>
      </c>
      <c r="H113" s="26">
        <f>+T26</f>
        <v>28912300</v>
      </c>
      <c r="I113" s="65"/>
      <c r="J113" s="65"/>
      <c r="K113" s="26">
        <f t="shared" si="7"/>
        <v>52444655</v>
      </c>
      <c r="L113" s="26">
        <f t="shared" si="8"/>
        <v>0</v>
      </c>
      <c r="M113" s="54"/>
      <c r="N113" s="65"/>
      <c r="O113" s="26">
        <f t="shared" si="9"/>
        <v>52444655</v>
      </c>
      <c r="P113" s="26">
        <f t="shared" si="10"/>
        <v>0</v>
      </c>
      <c r="Q113" s="65"/>
      <c r="R113" s="54"/>
      <c r="S113" s="26">
        <f t="shared" si="11"/>
        <v>0</v>
      </c>
      <c r="T113" s="26">
        <f t="shared" si="12"/>
        <v>0</v>
      </c>
      <c r="U113" s="131"/>
    </row>
    <row r="114" spans="2:21" x14ac:dyDescent="0.3">
      <c r="B114" s="151">
        <v>5</v>
      </c>
      <c r="C114" s="24" t="str">
        <f>+C31</f>
        <v>Combustible</v>
      </c>
      <c r="D114" s="24"/>
      <c r="E114" s="65"/>
      <c r="F114" s="65"/>
      <c r="G114" s="26">
        <f>+C40</f>
        <v>33874500</v>
      </c>
      <c r="H114" s="26">
        <f>+D40</f>
        <v>0</v>
      </c>
      <c r="I114" s="65"/>
      <c r="J114" s="65"/>
      <c r="K114" s="26">
        <f t="shared" si="7"/>
        <v>33874500</v>
      </c>
      <c r="L114" s="26">
        <f t="shared" si="8"/>
        <v>0</v>
      </c>
      <c r="M114" s="54"/>
      <c r="N114" s="65"/>
      <c r="O114" s="26">
        <f t="shared" si="9"/>
        <v>0</v>
      </c>
      <c r="P114" s="26">
        <f t="shared" si="10"/>
        <v>0</v>
      </c>
      <c r="Q114" s="65"/>
      <c r="R114" s="54"/>
      <c r="S114" s="26">
        <f t="shared" si="11"/>
        <v>33874500</v>
      </c>
      <c r="T114" s="26">
        <f t="shared" si="12"/>
        <v>0</v>
      </c>
      <c r="U114" s="131"/>
    </row>
    <row r="115" spans="2:21" x14ac:dyDescent="0.3">
      <c r="B115" s="151">
        <v>5</v>
      </c>
      <c r="C115" s="24" t="str">
        <f>+G31</f>
        <v>Repuestos</v>
      </c>
      <c r="D115" s="24"/>
      <c r="E115" s="65"/>
      <c r="F115" s="65"/>
      <c r="G115" s="26">
        <f>+G40</f>
        <v>16520000</v>
      </c>
      <c r="H115" s="26">
        <f>+H40</f>
        <v>0</v>
      </c>
      <c r="I115" s="65"/>
      <c r="J115" s="65"/>
      <c r="K115" s="26">
        <f t="shared" si="7"/>
        <v>16520000</v>
      </c>
      <c r="L115" s="26">
        <f t="shared" si="8"/>
        <v>0</v>
      </c>
      <c r="M115" s="54"/>
      <c r="N115" s="65"/>
      <c r="O115" s="26">
        <f t="shared" si="9"/>
        <v>0</v>
      </c>
      <c r="P115" s="26">
        <f t="shared" si="10"/>
        <v>0</v>
      </c>
      <c r="Q115" s="65"/>
      <c r="R115" s="54"/>
      <c r="S115" s="26">
        <f t="shared" si="11"/>
        <v>16520000</v>
      </c>
      <c r="T115" s="26">
        <f t="shared" si="12"/>
        <v>0</v>
      </c>
      <c r="U115" s="131"/>
    </row>
    <row r="116" spans="2:21" x14ac:dyDescent="0.3">
      <c r="B116" s="151">
        <v>5</v>
      </c>
      <c r="C116" s="24" t="str">
        <f>+K31</f>
        <v>Insumos computacionales</v>
      </c>
      <c r="D116" s="24"/>
      <c r="E116" s="65"/>
      <c r="F116" s="65"/>
      <c r="G116" s="26">
        <f>+K40</f>
        <v>13450000</v>
      </c>
      <c r="H116" s="26">
        <f>+L40</f>
        <v>0</v>
      </c>
      <c r="I116" s="65"/>
      <c r="J116" s="65"/>
      <c r="K116" s="26">
        <f t="shared" si="7"/>
        <v>13450000</v>
      </c>
      <c r="L116" s="26">
        <f t="shared" si="8"/>
        <v>0</v>
      </c>
      <c r="M116" s="54"/>
      <c r="N116" s="65"/>
      <c r="O116" s="26">
        <f t="shared" si="9"/>
        <v>0</v>
      </c>
      <c r="P116" s="26">
        <f t="shared" si="10"/>
        <v>0</v>
      </c>
      <c r="Q116" s="65"/>
      <c r="R116" s="54"/>
      <c r="S116" s="26">
        <f t="shared" si="11"/>
        <v>13450000</v>
      </c>
      <c r="T116" s="26">
        <f t="shared" si="12"/>
        <v>0</v>
      </c>
      <c r="U116" s="131"/>
    </row>
    <row r="117" spans="2:21" x14ac:dyDescent="0.3">
      <c r="B117" s="151">
        <v>5</v>
      </c>
      <c r="C117" s="24" t="str">
        <f>+O31</f>
        <v>Artículos de librería</v>
      </c>
      <c r="D117" s="24"/>
      <c r="E117" s="65"/>
      <c r="F117" s="65"/>
      <c r="G117" s="26">
        <f>+O40</f>
        <v>22000000</v>
      </c>
      <c r="H117" s="26">
        <f>+P40</f>
        <v>0</v>
      </c>
      <c r="I117" s="65"/>
      <c r="J117" s="65"/>
      <c r="K117" s="26">
        <f t="shared" si="7"/>
        <v>22000000</v>
      </c>
      <c r="L117" s="26">
        <f t="shared" si="8"/>
        <v>0</v>
      </c>
      <c r="M117" s="54"/>
      <c r="N117" s="65"/>
      <c r="O117" s="26">
        <f t="shared" si="9"/>
        <v>0</v>
      </c>
      <c r="P117" s="26">
        <f t="shared" si="10"/>
        <v>0</v>
      </c>
      <c r="Q117" s="65"/>
      <c r="R117" s="54"/>
      <c r="S117" s="26">
        <f t="shared" si="11"/>
        <v>22000000</v>
      </c>
      <c r="T117" s="26">
        <f t="shared" si="12"/>
        <v>0</v>
      </c>
      <c r="U117" s="131"/>
    </row>
    <row r="118" spans="2:21" x14ac:dyDescent="0.3">
      <c r="B118" s="151">
        <v>1</v>
      </c>
      <c r="C118" s="24" t="str">
        <f>+S31</f>
        <v>Vehículos (PPE)</v>
      </c>
      <c r="D118" s="24"/>
      <c r="E118" s="65"/>
      <c r="F118" s="65"/>
      <c r="G118" s="26">
        <f>+S40</f>
        <v>400000000</v>
      </c>
      <c r="H118" s="26">
        <f>+T40</f>
        <v>0</v>
      </c>
      <c r="I118" s="65"/>
      <c r="J118" s="65"/>
      <c r="K118" s="26">
        <f t="shared" si="7"/>
        <v>400000000</v>
      </c>
      <c r="L118" s="26">
        <f t="shared" si="8"/>
        <v>0</v>
      </c>
      <c r="M118" s="54"/>
      <c r="N118" s="65"/>
      <c r="O118" s="26">
        <f t="shared" si="9"/>
        <v>400000000</v>
      </c>
      <c r="P118" s="26">
        <f t="shared" si="10"/>
        <v>0</v>
      </c>
      <c r="Q118" s="65"/>
      <c r="R118" s="54"/>
      <c r="S118" s="26">
        <f t="shared" si="11"/>
        <v>0</v>
      </c>
      <c r="T118" s="26">
        <f t="shared" si="12"/>
        <v>0</v>
      </c>
      <c r="U118" s="131"/>
    </row>
    <row r="119" spans="2:21" x14ac:dyDescent="0.3">
      <c r="B119" s="151">
        <v>1</v>
      </c>
      <c r="C119" s="24" t="str">
        <f>+C45</f>
        <v>PPM</v>
      </c>
      <c r="D119" s="24"/>
      <c r="E119" s="65"/>
      <c r="F119" s="65"/>
      <c r="G119" s="26">
        <f>+C54</f>
        <v>37707070.200000003</v>
      </c>
      <c r="H119" s="26">
        <f>+D54</f>
        <v>12000000</v>
      </c>
      <c r="I119" s="65"/>
      <c r="J119" s="65"/>
      <c r="K119" s="26">
        <f t="shared" si="7"/>
        <v>25707070.200000003</v>
      </c>
      <c r="L119" s="26">
        <f t="shared" si="8"/>
        <v>0</v>
      </c>
      <c r="M119" s="54"/>
      <c r="N119" s="65"/>
      <c r="O119" s="26">
        <f t="shared" si="9"/>
        <v>25707070.200000003</v>
      </c>
      <c r="P119" s="26">
        <f t="shared" si="10"/>
        <v>0</v>
      </c>
      <c r="Q119" s="65"/>
      <c r="R119" s="54"/>
      <c r="S119" s="26">
        <f t="shared" si="11"/>
        <v>0</v>
      </c>
      <c r="T119" s="26">
        <f t="shared" si="12"/>
        <v>0</v>
      </c>
      <c r="U119" s="131"/>
    </row>
    <row r="120" spans="2:21" x14ac:dyDescent="0.3">
      <c r="B120" s="151">
        <v>5</v>
      </c>
      <c r="C120" s="24" t="str">
        <f>+G45</f>
        <v>Sueldos Base</v>
      </c>
      <c r="D120" s="24"/>
      <c r="E120" s="65"/>
      <c r="F120" s="65"/>
      <c r="G120" s="26">
        <f>+G52</f>
        <v>290000000</v>
      </c>
      <c r="H120" s="26">
        <f>+H52</f>
        <v>0</v>
      </c>
      <c r="I120" s="65"/>
      <c r="J120" s="65"/>
      <c r="K120" s="26">
        <f t="shared" si="7"/>
        <v>290000000</v>
      </c>
      <c r="L120" s="26">
        <f t="shared" si="8"/>
        <v>0</v>
      </c>
      <c r="M120" s="54"/>
      <c r="N120" s="65"/>
      <c r="O120" s="26">
        <f t="shared" si="9"/>
        <v>0</v>
      </c>
      <c r="P120" s="26">
        <f t="shared" si="10"/>
        <v>0</v>
      </c>
      <c r="Q120" s="65"/>
      <c r="R120" s="54"/>
      <c r="S120" s="26">
        <f t="shared" si="11"/>
        <v>290000000</v>
      </c>
      <c r="T120" s="26">
        <f t="shared" si="12"/>
        <v>0</v>
      </c>
      <c r="U120" s="131"/>
    </row>
    <row r="121" spans="2:21" x14ac:dyDescent="0.3">
      <c r="B121" s="151">
        <v>5</v>
      </c>
      <c r="C121" s="24" t="str">
        <f>+K45</f>
        <v>Gratifiacción</v>
      </c>
      <c r="D121" s="24"/>
      <c r="E121" s="65"/>
      <c r="F121" s="65"/>
      <c r="G121" s="26">
        <f>+K52</f>
        <v>19000000</v>
      </c>
      <c r="H121" s="26">
        <f>+L52</f>
        <v>0</v>
      </c>
      <c r="I121" s="65"/>
      <c r="J121" s="65"/>
      <c r="K121" s="26">
        <f t="shared" si="7"/>
        <v>19000000</v>
      </c>
      <c r="L121" s="26">
        <f t="shared" si="8"/>
        <v>0</v>
      </c>
      <c r="M121" s="54"/>
      <c r="N121" s="65"/>
      <c r="O121" s="26">
        <f t="shared" si="9"/>
        <v>0</v>
      </c>
      <c r="P121" s="26">
        <f t="shared" si="10"/>
        <v>0</v>
      </c>
      <c r="Q121" s="65"/>
      <c r="R121" s="54"/>
      <c r="S121" s="26">
        <f t="shared" si="11"/>
        <v>19000000</v>
      </c>
      <c r="T121" s="26">
        <f t="shared" si="12"/>
        <v>0</v>
      </c>
      <c r="U121" s="131"/>
    </row>
    <row r="122" spans="2:21" x14ac:dyDescent="0.3">
      <c r="B122" s="151">
        <v>5</v>
      </c>
      <c r="C122" s="24" t="str">
        <f>+O45</f>
        <v>Asignaciones</v>
      </c>
      <c r="D122" s="24"/>
      <c r="E122" s="65"/>
      <c r="F122" s="65"/>
      <c r="G122" s="26">
        <f>+O54</f>
        <v>15000000</v>
      </c>
      <c r="H122" s="26">
        <f>+P54</f>
        <v>0</v>
      </c>
      <c r="I122" s="65"/>
      <c r="J122" s="65"/>
      <c r="K122" s="26">
        <f t="shared" si="7"/>
        <v>15000000</v>
      </c>
      <c r="L122" s="26">
        <f t="shared" si="8"/>
        <v>0</v>
      </c>
      <c r="M122" s="54"/>
      <c r="N122" s="65"/>
      <c r="O122" s="26">
        <f t="shared" si="9"/>
        <v>0</v>
      </c>
      <c r="P122" s="26">
        <f t="shared" si="10"/>
        <v>0</v>
      </c>
      <c r="Q122" s="65"/>
      <c r="R122" s="54"/>
      <c r="S122" s="26">
        <f t="shared" si="11"/>
        <v>15000000</v>
      </c>
      <c r="T122" s="26">
        <f t="shared" si="12"/>
        <v>0</v>
      </c>
      <c r="U122" s="131"/>
    </row>
    <row r="123" spans="2:21" x14ac:dyDescent="0.3">
      <c r="B123" s="151">
        <v>2</v>
      </c>
      <c r="C123" s="24" t="str">
        <f>+S45</f>
        <v>AFP</v>
      </c>
      <c r="D123" s="24"/>
      <c r="E123" s="65"/>
      <c r="F123" s="65"/>
      <c r="G123" s="26">
        <f>+S54</f>
        <v>0</v>
      </c>
      <c r="H123" s="26">
        <f>+T54</f>
        <v>32900000</v>
      </c>
      <c r="I123" s="65"/>
      <c r="J123" s="65"/>
      <c r="K123" s="26">
        <f t="shared" si="7"/>
        <v>0</v>
      </c>
      <c r="L123" s="26">
        <f t="shared" si="8"/>
        <v>32900000</v>
      </c>
      <c r="M123" s="54"/>
      <c r="N123" s="65"/>
      <c r="O123" s="26">
        <f t="shared" si="9"/>
        <v>0</v>
      </c>
      <c r="P123" s="26">
        <f t="shared" si="10"/>
        <v>32900000</v>
      </c>
      <c r="Q123" s="65"/>
      <c r="R123" s="54"/>
      <c r="S123" s="26">
        <f t="shared" si="11"/>
        <v>0</v>
      </c>
      <c r="T123" s="26">
        <f t="shared" si="12"/>
        <v>0</v>
      </c>
      <c r="U123" s="131"/>
    </row>
    <row r="124" spans="2:21" x14ac:dyDescent="0.3">
      <c r="B124" s="151">
        <v>2</v>
      </c>
      <c r="C124" s="24" t="str">
        <f>+C59</f>
        <v>Salud (Isapre)</v>
      </c>
      <c r="D124" s="24"/>
      <c r="E124" s="65"/>
      <c r="F124" s="65"/>
      <c r="G124" s="26">
        <f>+C68</f>
        <v>0</v>
      </c>
      <c r="H124" s="26">
        <f>+D68</f>
        <v>21300000</v>
      </c>
      <c r="I124" s="65"/>
      <c r="J124" s="65"/>
      <c r="K124" s="26">
        <f t="shared" si="7"/>
        <v>0</v>
      </c>
      <c r="L124" s="26">
        <f t="shared" si="8"/>
        <v>21300000</v>
      </c>
      <c r="M124" s="54"/>
      <c r="N124" s="65"/>
      <c r="O124" s="26">
        <f t="shared" si="9"/>
        <v>0</v>
      </c>
      <c r="P124" s="26">
        <f t="shared" si="10"/>
        <v>21300000</v>
      </c>
      <c r="Q124" s="65"/>
      <c r="R124" s="54"/>
      <c r="S124" s="26">
        <f t="shared" si="11"/>
        <v>0</v>
      </c>
      <c r="T124" s="26">
        <f t="shared" si="12"/>
        <v>0</v>
      </c>
      <c r="U124" s="131"/>
    </row>
    <row r="125" spans="2:21" x14ac:dyDescent="0.3">
      <c r="B125" s="151">
        <v>2</v>
      </c>
      <c r="C125" s="24" t="str">
        <f>+G59</f>
        <v>Rem por Pagar</v>
      </c>
      <c r="D125" s="24"/>
      <c r="E125" s="65"/>
      <c r="F125" s="65"/>
      <c r="G125" s="26">
        <f>+G68</f>
        <v>269800000</v>
      </c>
      <c r="H125" s="26">
        <f>+H68</f>
        <v>269800000</v>
      </c>
      <c r="I125" s="65"/>
      <c r="J125" s="65"/>
      <c r="K125" s="26">
        <f t="shared" si="7"/>
        <v>0</v>
      </c>
      <c r="L125" s="26">
        <f t="shared" si="8"/>
        <v>0</v>
      </c>
      <c r="M125" s="54"/>
      <c r="N125" s="65"/>
      <c r="O125" s="26">
        <f t="shared" si="9"/>
        <v>0</v>
      </c>
      <c r="P125" s="26">
        <f t="shared" si="10"/>
        <v>0</v>
      </c>
      <c r="Q125" s="65"/>
      <c r="R125" s="54"/>
      <c r="S125" s="26">
        <f t="shared" si="11"/>
        <v>0</v>
      </c>
      <c r="T125" s="26">
        <f t="shared" si="12"/>
        <v>0</v>
      </c>
      <c r="U125" s="131"/>
    </row>
    <row r="126" spans="2:21" x14ac:dyDescent="0.3">
      <c r="B126" s="151">
        <v>2</v>
      </c>
      <c r="C126" s="24" t="str">
        <f>+K59</f>
        <v>PPM por Pagar</v>
      </c>
      <c r="D126" s="24"/>
      <c r="E126" s="65"/>
      <c r="F126" s="65"/>
      <c r="G126" s="26">
        <f>+K68</f>
        <v>0</v>
      </c>
      <c r="H126" s="26">
        <f>+L68</f>
        <v>16055400</v>
      </c>
      <c r="I126" s="65"/>
      <c r="J126" s="65"/>
      <c r="K126" s="26">
        <f t="shared" si="7"/>
        <v>0</v>
      </c>
      <c r="L126" s="26">
        <f t="shared" si="8"/>
        <v>16055400</v>
      </c>
      <c r="M126" s="54"/>
      <c r="N126" s="65"/>
      <c r="O126" s="26">
        <f t="shared" si="9"/>
        <v>0</v>
      </c>
      <c r="P126" s="26">
        <f t="shared" si="10"/>
        <v>16055400</v>
      </c>
      <c r="Q126" s="65"/>
      <c r="R126" s="54"/>
      <c r="S126" s="26">
        <f t="shared" si="11"/>
        <v>0</v>
      </c>
      <c r="T126" s="26">
        <f t="shared" si="12"/>
        <v>0</v>
      </c>
      <c r="U126" s="131"/>
    </row>
    <row r="127" spans="2:21" x14ac:dyDescent="0.3">
      <c r="B127" s="151">
        <v>1</v>
      </c>
      <c r="C127" s="24" t="str">
        <f>+O59</f>
        <v>Terrenos</v>
      </c>
      <c r="D127" s="24"/>
      <c r="E127" s="65"/>
      <c r="F127" s="65"/>
      <c r="G127" s="26">
        <f>+O68</f>
        <v>150000000</v>
      </c>
      <c r="H127" s="26">
        <f>+P68</f>
        <v>0</v>
      </c>
      <c r="I127" s="65"/>
      <c r="J127" s="65"/>
      <c r="K127" s="26">
        <f t="shared" si="7"/>
        <v>150000000</v>
      </c>
      <c r="L127" s="26">
        <f t="shared" si="8"/>
        <v>0</v>
      </c>
      <c r="M127" s="54"/>
      <c r="N127" s="65"/>
      <c r="O127" s="26">
        <f t="shared" si="9"/>
        <v>150000000</v>
      </c>
      <c r="P127" s="26">
        <f t="shared" si="10"/>
        <v>0</v>
      </c>
      <c r="Q127" s="65"/>
      <c r="R127" s="54"/>
      <c r="S127" s="26">
        <f t="shared" si="11"/>
        <v>0</v>
      </c>
      <c r="T127" s="26">
        <f t="shared" si="12"/>
        <v>0</v>
      </c>
      <c r="U127" s="131"/>
    </row>
    <row r="128" spans="2:21" x14ac:dyDescent="0.3">
      <c r="B128" s="151">
        <v>1</v>
      </c>
      <c r="C128" s="24" t="str">
        <f>+S59</f>
        <v>Edificaciones</v>
      </c>
      <c r="D128" s="24"/>
      <c r="E128" s="65"/>
      <c r="F128" s="65"/>
      <c r="G128" s="26">
        <f>+S68</f>
        <v>280000000</v>
      </c>
      <c r="H128" s="26">
        <f>+T68</f>
        <v>0</v>
      </c>
      <c r="I128" s="65"/>
      <c r="J128" s="65"/>
      <c r="K128" s="26">
        <f t="shared" si="7"/>
        <v>280000000</v>
      </c>
      <c r="L128" s="26">
        <f t="shared" si="8"/>
        <v>0</v>
      </c>
      <c r="M128" s="54"/>
      <c r="N128" s="65"/>
      <c r="O128" s="26">
        <f t="shared" si="9"/>
        <v>280000000</v>
      </c>
      <c r="P128" s="26">
        <f t="shared" si="10"/>
        <v>0</v>
      </c>
      <c r="Q128" s="65"/>
      <c r="R128" s="54"/>
      <c r="S128" s="26">
        <f t="shared" si="11"/>
        <v>0</v>
      </c>
      <c r="T128" s="26">
        <f t="shared" si="12"/>
        <v>0</v>
      </c>
      <c r="U128" s="131"/>
    </row>
    <row r="129" spans="2:21" x14ac:dyDescent="0.3">
      <c r="B129" s="151">
        <v>1</v>
      </c>
      <c r="C129" s="24" t="str">
        <f>+C73</f>
        <v>Dep Acum PPE</v>
      </c>
      <c r="D129" s="24"/>
      <c r="E129" s="65"/>
      <c r="F129" s="65"/>
      <c r="G129" s="26">
        <f>+C82</f>
        <v>0</v>
      </c>
      <c r="H129" s="26">
        <f>+D82</f>
        <v>48828125</v>
      </c>
      <c r="I129" s="65"/>
      <c r="J129" s="65"/>
      <c r="K129" s="26">
        <f t="shared" si="7"/>
        <v>0</v>
      </c>
      <c r="L129" s="26">
        <f t="shared" si="8"/>
        <v>48828125</v>
      </c>
      <c r="M129" s="54"/>
      <c r="N129" s="65"/>
      <c r="O129" s="26">
        <f t="shared" si="9"/>
        <v>0</v>
      </c>
      <c r="P129" s="152">
        <f>IF(B129=1,L129,0)</f>
        <v>48828125</v>
      </c>
      <c r="Q129" s="65"/>
      <c r="R129" s="54"/>
      <c r="S129" s="26">
        <f t="shared" si="11"/>
        <v>0</v>
      </c>
      <c r="T129" s="26">
        <f t="shared" si="12"/>
        <v>0</v>
      </c>
      <c r="U129" s="131"/>
    </row>
    <row r="130" spans="2:21" x14ac:dyDescent="0.3">
      <c r="B130" s="151">
        <v>5</v>
      </c>
      <c r="C130" s="24" t="str">
        <f>+G73</f>
        <v>Depreciación</v>
      </c>
      <c r="D130" s="24"/>
      <c r="E130" s="65"/>
      <c r="F130" s="65"/>
      <c r="G130" s="26">
        <f>+G82</f>
        <v>26508680.555555556</v>
      </c>
      <c r="H130" s="26">
        <f>+H82</f>
        <v>0</v>
      </c>
      <c r="I130" s="65"/>
      <c r="J130" s="65"/>
      <c r="K130" s="26">
        <f t="shared" si="7"/>
        <v>26508680.555555556</v>
      </c>
      <c r="L130" s="26">
        <f t="shared" si="8"/>
        <v>0</v>
      </c>
      <c r="M130" s="54"/>
      <c r="N130" s="65"/>
      <c r="O130" s="26">
        <f t="shared" si="9"/>
        <v>0</v>
      </c>
      <c r="P130" s="26">
        <f t="shared" si="10"/>
        <v>0</v>
      </c>
      <c r="Q130" s="65"/>
      <c r="R130" s="54"/>
      <c r="S130" s="26">
        <f t="shared" si="11"/>
        <v>26508680.555555556</v>
      </c>
      <c r="T130" s="26">
        <f t="shared" si="12"/>
        <v>0</v>
      </c>
      <c r="U130" s="131"/>
    </row>
    <row r="131" spans="2:21" x14ac:dyDescent="0.3">
      <c r="B131" s="151">
        <v>2</v>
      </c>
      <c r="C131" s="24" t="str">
        <f>+K73</f>
        <v>Préstamos Banco</v>
      </c>
      <c r="D131" s="24"/>
      <c r="E131" s="65"/>
      <c r="F131" s="65"/>
      <c r="G131" s="26">
        <f>+K82</f>
        <v>31266666.666666668</v>
      </c>
      <c r="H131" s="26">
        <f>+L82</f>
        <v>302841000</v>
      </c>
      <c r="I131" s="65"/>
      <c r="J131" s="65"/>
      <c r="K131" s="26">
        <f t="shared" si="7"/>
        <v>0</v>
      </c>
      <c r="L131" s="26">
        <f t="shared" si="8"/>
        <v>271574333.33333331</v>
      </c>
      <c r="M131" s="54"/>
      <c r="N131" s="65"/>
      <c r="O131" s="26">
        <f t="shared" si="9"/>
        <v>0</v>
      </c>
      <c r="P131" s="26">
        <f t="shared" si="10"/>
        <v>271574333.33333331</v>
      </c>
      <c r="Q131" s="65"/>
      <c r="R131" s="54"/>
      <c r="S131" s="26">
        <f t="shared" si="11"/>
        <v>0</v>
      </c>
      <c r="T131" s="26">
        <f t="shared" si="12"/>
        <v>0</v>
      </c>
      <c r="U131" s="131"/>
    </row>
    <row r="132" spans="2:21" x14ac:dyDescent="0.3">
      <c r="B132" s="151">
        <v>5</v>
      </c>
      <c r="C132" s="24" t="str">
        <f>+O73</f>
        <v>Gastos Financieros</v>
      </c>
      <c r="D132" s="24"/>
      <c r="E132" s="65"/>
      <c r="F132" s="65"/>
      <c r="G132" s="26">
        <f>+O82</f>
        <v>10241000.000000002</v>
      </c>
      <c r="H132" s="26">
        <f>+P82</f>
        <v>0</v>
      </c>
      <c r="I132" s="65"/>
      <c r="J132" s="65"/>
      <c r="K132" s="26">
        <f t="shared" si="7"/>
        <v>10241000.000000002</v>
      </c>
      <c r="L132" s="26">
        <f t="shared" si="8"/>
        <v>0</v>
      </c>
      <c r="M132" s="54"/>
      <c r="N132" s="65"/>
      <c r="O132" s="26">
        <f t="shared" si="9"/>
        <v>0</v>
      </c>
      <c r="P132" s="26">
        <f t="shared" si="10"/>
        <v>0</v>
      </c>
      <c r="Q132" s="65"/>
      <c r="R132" s="54"/>
      <c r="S132" s="26">
        <f t="shared" si="11"/>
        <v>10241000.000000002</v>
      </c>
      <c r="T132" s="26">
        <f t="shared" si="12"/>
        <v>0</v>
      </c>
      <c r="U132" s="131"/>
    </row>
    <row r="133" spans="2:21" x14ac:dyDescent="0.3">
      <c r="B133" s="151">
        <v>1</v>
      </c>
      <c r="C133" s="24" t="str">
        <f>+S73</f>
        <v>Depósitos en USD</v>
      </c>
      <c r="D133" s="24"/>
      <c r="E133" s="65"/>
      <c r="F133" s="65"/>
      <c r="G133" s="26">
        <f>+S82</f>
        <v>223450000</v>
      </c>
      <c r="H133" s="26">
        <f>+T82</f>
        <v>0</v>
      </c>
      <c r="I133" s="65"/>
      <c r="J133" s="65"/>
      <c r="K133" s="26">
        <f t="shared" si="7"/>
        <v>223450000</v>
      </c>
      <c r="L133" s="26">
        <f t="shared" si="8"/>
        <v>0</v>
      </c>
      <c r="M133" s="54"/>
      <c r="N133" s="65"/>
      <c r="O133" s="26">
        <f t="shared" si="9"/>
        <v>223450000</v>
      </c>
      <c r="P133" s="26">
        <f t="shared" si="10"/>
        <v>0</v>
      </c>
      <c r="Q133" s="65"/>
      <c r="R133" s="54"/>
      <c r="S133" s="26">
        <f t="shared" si="11"/>
        <v>0</v>
      </c>
      <c r="T133" s="26">
        <f t="shared" si="12"/>
        <v>0</v>
      </c>
      <c r="U133" s="131"/>
    </row>
    <row r="134" spans="2:21" x14ac:dyDescent="0.3">
      <c r="B134" s="151">
        <v>5</v>
      </c>
      <c r="C134" s="24" t="str">
        <f>+C87</f>
        <v>Impto Renta</v>
      </c>
      <c r="D134" s="24"/>
      <c r="E134" s="65"/>
      <c r="F134" s="65"/>
      <c r="G134" s="26">
        <f>+C96</f>
        <v>112000000.00000001</v>
      </c>
      <c r="H134" s="26">
        <f>+D96</f>
        <v>0</v>
      </c>
      <c r="I134" s="65"/>
      <c r="J134" s="65"/>
      <c r="K134" s="26">
        <f t="shared" si="7"/>
        <v>112000000.00000001</v>
      </c>
      <c r="L134" s="26">
        <f t="shared" si="8"/>
        <v>0</v>
      </c>
      <c r="M134" s="54"/>
      <c r="N134" s="65"/>
      <c r="O134" s="26">
        <f t="shared" si="9"/>
        <v>0</v>
      </c>
      <c r="P134" s="26">
        <f t="shared" si="10"/>
        <v>0</v>
      </c>
      <c r="Q134" s="65"/>
      <c r="R134" s="54"/>
      <c r="S134" s="26">
        <f t="shared" si="11"/>
        <v>112000000.00000001</v>
      </c>
      <c r="T134" s="26">
        <f t="shared" si="12"/>
        <v>0</v>
      </c>
      <c r="U134" s="131"/>
    </row>
    <row r="135" spans="2:21" x14ac:dyDescent="0.3">
      <c r="B135" s="151">
        <v>2</v>
      </c>
      <c r="C135" s="24" t="str">
        <f>+G87</f>
        <v>Prov de Impto Renta</v>
      </c>
      <c r="D135" s="24"/>
      <c r="E135" s="65"/>
      <c r="F135" s="65"/>
      <c r="G135" s="26">
        <f>+G96</f>
        <v>0</v>
      </c>
      <c r="H135" s="26">
        <f>+H96</f>
        <v>112000000.00000001</v>
      </c>
      <c r="I135" s="65"/>
      <c r="J135" s="65"/>
      <c r="K135" s="26">
        <f t="shared" si="7"/>
        <v>0</v>
      </c>
      <c r="L135" s="26">
        <f t="shared" si="8"/>
        <v>112000000.00000001</v>
      </c>
      <c r="M135" s="54"/>
      <c r="N135" s="65"/>
      <c r="O135" s="26">
        <f t="shared" si="9"/>
        <v>0</v>
      </c>
      <c r="P135" s="26">
        <f t="shared" si="10"/>
        <v>112000000.00000001</v>
      </c>
      <c r="Q135" s="65"/>
      <c r="R135" s="54"/>
      <c r="S135" s="26">
        <f t="shared" si="11"/>
        <v>0</v>
      </c>
      <c r="T135" s="26">
        <f t="shared" si="12"/>
        <v>0</v>
      </c>
      <c r="U135" s="131"/>
    </row>
    <row r="136" spans="2:21" x14ac:dyDescent="0.3">
      <c r="B136" s="151">
        <v>5</v>
      </c>
      <c r="C136" s="24" t="str">
        <f>+K87</f>
        <v>Deterioro CxC</v>
      </c>
      <c r="D136" s="24"/>
      <c r="E136" s="65"/>
      <c r="F136" s="65"/>
      <c r="G136" s="26">
        <f>+K96</f>
        <v>20000000</v>
      </c>
      <c r="H136" s="26">
        <f>+L96</f>
        <v>0</v>
      </c>
      <c r="I136" s="65"/>
      <c r="J136" s="65"/>
      <c r="K136" s="26">
        <f t="shared" si="7"/>
        <v>20000000</v>
      </c>
      <c r="L136" s="26">
        <f t="shared" si="8"/>
        <v>0</v>
      </c>
      <c r="M136" s="54"/>
      <c r="N136" s="65"/>
      <c r="O136" s="26">
        <f t="shared" si="9"/>
        <v>0</v>
      </c>
      <c r="P136" s="26">
        <f t="shared" si="10"/>
        <v>0</v>
      </c>
      <c r="Q136" s="65"/>
      <c r="R136" s="54"/>
      <c r="S136" s="26">
        <f t="shared" si="11"/>
        <v>20000000</v>
      </c>
      <c r="T136" s="26">
        <f t="shared" si="12"/>
        <v>0</v>
      </c>
      <c r="U136" s="131"/>
    </row>
    <row r="137" spans="2:21" x14ac:dyDescent="0.3">
      <c r="B137" s="151">
        <v>1</v>
      </c>
      <c r="C137" s="24" t="str">
        <f>+O87</f>
        <v>Provisión deterioro CxC</v>
      </c>
      <c r="D137" s="24"/>
      <c r="E137" s="65"/>
      <c r="F137" s="65"/>
      <c r="G137" s="26">
        <f>+O96</f>
        <v>0</v>
      </c>
      <c r="H137" s="26">
        <f>+P96</f>
        <v>20000000</v>
      </c>
      <c r="I137" s="65"/>
      <c r="J137" s="65"/>
      <c r="K137" s="26">
        <f t="shared" si="7"/>
        <v>0</v>
      </c>
      <c r="L137" s="26">
        <f t="shared" si="8"/>
        <v>20000000</v>
      </c>
      <c r="M137" s="54"/>
      <c r="N137" s="65"/>
      <c r="O137" s="26">
        <f t="shared" si="9"/>
        <v>0</v>
      </c>
      <c r="P137" s="152">
        <f>IF(B137=1,L137,0)</f>
        <v>20000000</v>
      </c>
      <c r="Q137" s="65"/>
      <c r="R137" s="54"/>
      <c r="S137" s="26">
        <f t="shared" si="11"/>
        <v>0</v>
      </c>
      <c r="T137" s="26">
        <f t="shared" si="12"/>
        <v>0</v>
      </c>
      <c r="U137" s="131"/>
    </row>
    <row r="138" spans="2:21" x14ac:dyDescent="0.3">
      <c r="B138" s="151">
        <v>5</v>
      </c>
      <c r="C138" s="24" t="str">
        <f>+S87</f>
        <v>Dif de Cambio (No Realizada)</v>
      </c>
      <c r="D138" s="24"/>
      <c r="E138" s="65"/>
      <c r="F138" s="65"/>
      <c r="G138" s="26">
        <f>+S96</f>
        <v>0</v>
      </c>
      <c r="H138" s="26">
        <f>+T96</f>
        <v>23450000</v>
      </c>
      <c r="I138" s="65"/>
      <c r="J138" s="65"/>
      <c r="K138" s="26">
        <f t="shared" si="7"/>
        <v>0</v>
      </c>
      <c r="L138" s="26">
        <f t="shared" si="8"/>
        <v>23450000</v>
      </c>
      <c r="M138" s="54"/>
      <c r="N138" s="65"/>
      <c r="O138" s="26">
        <f t="shared" si="9"/>
        <v>0</v>
      </c>
      <c r="P138" s="26">
        <f t="shared" si="10"/>
        <v>0</v>
      </c>
      <c r="Q138" s="65"/>
      <c r="R138" s="54"/>
      <c r="S138" s="26">
        <f t="shared" si="11"/>
        <v>0</v>
      </c>
      <c r="T138" s="152">
        <f>IF(B138=5,L138,0)</f>
        <v>23450000</v>
      </c>
      <c r="U138" s="131"/>
    </row>
    <row r="139" spans="2:21" x14ac:dyDescent="0.3">
      <c r="B139" s="151">
        <v>0</v>
      </c>
      <c r="C139" s="24" t="str">
        <f>+X3</f>
        <v>Efectivo y Efectivo Equivalente Banco</v>
      </c>
      <c r="D139" s="24"/>
      <c r="E139" s="65"/>
      <c r="F139" s="65"/>
      <c r="G139" s="140">
        <f>+AA33</f>
        <v>1002050636.9</v>
      </c>
      <c r="H139" s="140">
        <f>+AB33</f>
        <v>741567423.76666665</v>
      </c>
      <c r="I139" s="65"/>
      <c r="J139" s="65"/>
      <c r="K139" s="26">
        <f t="shared" si="7"/>
        <v>260483213.13333333</v>
      </c>
      <c r="L139" s="26">
        <f t="shared" si="8"/>
        <v>0</v>
      </c>
      <c r="M139" s="54"/>
      <c r="N139" s="65"/>
      <c r="O139" s="152">
        <f>IF(B139=0,K139,0)</f>
        <v>260483213.13333333</v>
      </c>
      <c r="P139" s="26">
        <f t="shared" si="10"/>
        <v>0</v>
      </c>
      <c r="Q139" s="65"/>
      <c r="R139" s="54"/>
      <c r="S139" s="26">
        <f t="shared" si="11"/>
        <v>0</v>
      </c>
      <c r="T139" s="26">
        <f t="shared" si="12"/>
        <v>0</v>
      </c>
      <c r="U139" s="131"/>
    </row>
    <row r="140" spans="2:21" x14ac:dyDescent="0.3">
      <c r="B140" s="151"/>
      <c r="C140" s="24"/>
      <c r="D140" s="24"/>
      <c r="E140" s="65"/>
      <c r="F140" s="65"/>
      <c r="G140" s="24"/>
      <c r="H140" s="24"/>
      <c r="I140" s="65"/>
      <c r="J140" s="65"/>
      <c r="K140" s="24"/>
      <c r="L140" s="24"/>
      <c r="M140" s="54"/>
      <c r="N140" s="65"/>
      <c r="O140" s="24"/>
      <c r="P140" s="24"/>
      <c r="Q140" s="65"/>
      <c r="R140" s="54"/>
      <c r="S140" s="24"/>
      <c r="T140" s="24"/>
      <c r="U140" s="131"/>
    </row>
    <row r="141" spans="2:21" x14ac:dyDescent="0.3">
      <c r="B141" s="151"/>
      <c r="C141" s="24"/>
      <c r="D141" s="24"/>
      <c r="E141" s="65"/>
      <c r="F141" s="65"/>
      <c r="G141" s="50">
        <f>SUM(G104:G139)</f>
        <v>4838317633.1222219</v>
      </c>
      <c r="H141" s="50">
        <f>SUM(H104:H139)</f>
        <v>4838317633.1222219</v>
      </c>
      <c r="I141" s="65"/>
      <c r="J141" s="65"/>
      <c r="K141" s="50">
        <f>SUM(K104:K139)</f>
        <v>2757959218.8888888</v>
      </c>
      <c r="L141" s="50">
        <f>SUM(L104:L139)</f>
        <v>2757959218.8888888</v>
      </c>
      <c r="M141" s="54"/>
      <c r="N141" s="65"/>
      <c r="O141" s="50">
        <f>SUM(O104:O139)</f>
        <v>2111365038.3333335</v>
      </c>
      <c r="P141" s="50">
        <f>SUM(P104:P139)</f>
        <v>1599155708.8888888</v>
      </c>
      <c r="Q141" s="65"/>
      <c r="R141" s="54"/>
      <c r="S141" s="50">
        <f>SUM(S104:S139)</f>
        <v>646594180.55555558</v>
      </c>
      <c r="T141" s="50">
        <f>SUM(T104:T139)</f>
        <v>1158803510</v>
      </c>
      <c r="U141" s="131"/>
    </row>
    <row r="142" spans="2:21" x14ac:dyDescent="0.3">
      <c r="B142" s="151"/>
      <c r="C142" s="24"/>
      <c r="D142" s="24"/>
      <c r="E142" s="65"/>
      <c r="F142" s="65"/>
      <c r="G142" s="24"/>
      <c r="H142" s="26">
        <f>+H141-G141</f>
        <v>0</v>
      </c>
      <c r="I142" s="65"/>
      <c r="J142" s="65"/>
      <c r="K142" s="24"/>
      <c r="L142" s="26">
        <f>+L141-K141</f>
        <v>0</v>
      </c>
      <c r="M142" s="54"/>
      <c r="N142" s="65"/>
      <c r="O142" s="24"/>
      <c r="P142" s="26">
        <f>+P141-O141</f>
        <v>-512209329.44444466</v>
      </c>
      <c r="Q142" s="65"/>
      <c r="R142" s="54"/>
      <c r="S142" s="24"/>
      <c r="T142" s="26">
        <f>+T141-S141</f>
        <v>512209329.44444442</v>
      </c>
      <c r="U142" s="131"/>
    </row>
    <row r="143" spans="2:21" x14ac:dyDescent="0.3">
      <c r="B143" s="151"/>
      <c r="C143" s="24"/>
      <c r="D143" s="24"/>
      <c r="E143" s="65"/>
      <c r="F143" s="65"/>
      <c r="G143" s="24"/>
      <c r="H143" s="24"/>
      <c r="I143" s="65"/>
      <c r="J143" s="65"/>
      <c r="K143" s="24"/>
      <c r="L143" s="24"/>
      <c r="M143" s="54"/>
      <c r="N143" s="65"/>
      <c r="O143" s="24"/>
      <c r="P143" s="24"/>
      <c r="Q143" s="65"/>
      <c r="R143" s="54"/>
      <c r="S143" s="24"/>
      <c r="T143" s="24"/>
      <c r="U143" s="131"/>
    </row>
    <row r="144" spans="2:21" x14ac:dyDescent="0.3">
      <c r="B144" s="151"/>
      <c r="C144" s="24"/>
      <c r="D144" s="24"/>
      <c r="E144" s="65"/>
      <c r="F144" s="65"/>
      <c r="G144" s="24"/>
      <c r="H144" s="26">
        <f>+C4-P4-T4+K18-P18+S32+C46+O60+S60-D74-L74+AA4</f>
        <v>0</v>
      </c>
      <c r="I144" s="65"/>
      <c r="J144" s="65"/>
      <c r="K144" s="24"/>
      <c r="L144" s="24"/>
      <c r="M144" s="54"/>
      <c r="N144" s="65"/>
      <c r="O144" s="24"/>
      <c r="P144" s="24"/>
      <c r="Q144" s="65"/>
      <c r="R144" s="54"/>
      <c r="S144" s="24"/>
      <c r="T144" s="24"/>
      <c r="U144" s="131"/>
    </row>
    <row r="145" spans="2:21" ht="15" thickBot="1" x14ac:dyDescent="0.35">
      <c r="B145" s="153"/>
      <c r="C145" s="16"/>
      <c r="D145" s="16"/>
      <c r="E145" s="154"/>
      <c r="F145" s="154"/>
      <c r="G145" s="16"/>
      <c r="H145" s="18">
        <f>+H144+H142</f>
        <v>0</v>
      </c>
      <c r="I145" s="154"/>
      <c r="J145" s="154"/>
      <c r="K145" s="16"/>
      <c r="L145" s="16"/>
      <c r="M145" s="143"/>
      <c r="N145" s="154"/>
      <c r="O145" s="16"/>
      <c r="P145" s="16"/>
      <c r="Q145" s="154"/>
      <c r="R145" s="143"/>
      <c r="S145" s="16"/>
      <c r="T145" s="16"/>
      <c r="U145" s="145"/>
    </row>
    <row r="149" spans="2:21" x14ac:dyDescent="0.3">
      <c r="C149" s="6" t="s">
        <v>282</v>
      </c>
      <c r="G149" s="190">
        <v>44926</v>
      </c>
      <c r="H149" s="190">
        <v>45107</v>
      </c>
      <c r="O149" s="190">
        <v>44926</v>
      </c>
      <c r="P149" s="190">
        <v>45107</v>
      </c>
    </row>
    <row r="152" spans="2:21" x14ac:dyDescent="0.3">
      <c r="C152" t="str">
        <f>+X3</f>
        <v>Efectivo y Efectivo Equivalente Banco</v>
      </c>
      <c r="G152" s="4">
        <f>+AA4</f>
        <v>156000000</v>
      </c>
      <c r="H152" s="4">
        <f>+ESF!C4</f>
        <v>483933213.13333333</v>
      </c>
      <c r="K152" t="str">
        <f>+K73</f>
        <v>Préstamos Banco</v>
      </c>
      <c r="O152" s="4">
        <f>+L74</f>
        <v>292600000</v>
      </c>
      <c r="P152" s="4">
        <f>+ESF!H4</f>
        <v>271574333.33333331</v>
      </c>
    </row>
    <row r="153" spans="2:21" x14ac:dyDescent="0.3">
      <c r="C153" t="str">
        <f>+C3</f>
        <v>Clientes</v>
      </c>
      <c r="G153" s="4">
        <f>+C4</f>
        <v>108960140</v>
      </c>
      <c r="H153" s="4">
        <f>+ESF!C6</f>
        <v>639930100.00000012</v>
      </c>
      <c r="K153" t="str">
        <f>+O17</f>
        <v>Proveedores</v>
      </c>
      <c r="O153" s="4">
        <f>+P18</f>
        <v>53879500</v>
      </c>
      <c r="P153" s="4">
        <f>+ESF!H6</f>
        <v>452092000</v>
      </c>
    </row>
    <row r="154" spans="2:21" x14ac:dyDescent="0.3">
      <c r="C154" t="str">
        <f>+C45</f>
        <v>PPM</v>
      </c>
      <c r="G154" s="4">
        <f>+C46</f>
        <v>15000000</v>
      </c>
      <c r="H154" s="4">
        <f>+ESF!C12</f>
        <v>9651670.200000003</v>
      </c>
      <c r="K154" t="str">
        <f>+ESF!G12</f>
        <v>Impuestos por Pagar</v>
      </c>
      <c r="P154" s="4">
        <f>+ESF!H12</f>
        <v>112000000.00000001</v>
      </c>
    </row>
    <row r="155" spans="2:21" x14ac:dyDescent="0.3">
      <c r="H155" s="4"/>
      <c r="P155" s="4"/>
    </row>
    <row r="156" spans="2:21" x14ac:dyDescent="0.3">
      <c r="C156" t="str">
        <f>+O59</f>
        <v>Terrenos</v>
      </c>
      <c r="G156" s="4">
        <f>+O60</f>
        <v>150000000</v>
      </c>
      <c r="H156" s="4">
        <f>+ESF!E16</f>
        <v>150000000</v>
      </c>
      <c r="P156" s="4"/>
    </row>
    <row r="157" spans="2:21" x14ac:dyDescent="0.3">
      <c r="C157" t="str">
        <f>+S59</f>
        <v>Edificaciones</v>
      </c>
      <c r="G157" s="4">
        <f>+S60</f>
        <v>280000000</v>
      </c>
      <c r="H157" s="4">
        <f>+ESF!E17</f>
        <v>280000000</v>
      </c>
      <c r="K157" t="str">
        <f>+O3</f>
        <v>Capital</v>
      </c>
      <c r="O157" s="4">
        <f>+P4</f>
        <v>335000000</v>
      </c>
      <c r="P157" s="4">
        <f>+ESF!H16</f>
        <v>435000000</v>
      </c>
    </row>
    <row r="158" spans="2:21" x14ac:dyDescent="0.3">
      <c r="C158" t="str">
        <f>+K17</f>
        <v>Muebles y ütiles (PPE)</v>
      </c>
      <c r="G158" s="4">
        <f>+K18</f>
        <v>35000000</v>
      </c>
      <c r="H158" s="4">
        <f>+ESF!E18</f>
        <v>400000000</v>
      </c>
      <c r="K158" t="str">
        <f>+S3</f>
        <v>Resultados Acumulado</v>
      </c>
      <c r="O158" s="4">
        <f>+T4</f>
        <v>191161195.55555555</v>
      </c>
      <c r="P158" s="4">
        <f>+ESF!H21</f>
        <v>703370525</v>
      </c>
    </row>
    <row r="159" spans="2:21" x14ac:dyDescent="0.3">
      <c r="C159" t="str">
        <f>+S31</f>
        <v>Vehículos (PPE)</v>
      </c>
      <c r="G159" s="4">
        <f>+S32</f>
        <v>150000000</v>
      </c>
      <c r="H159" s="4">
        <f>+ESF!E19</f>
        <v>59350000</v>
      </c>
    </row>
    <row r="160" spans="2:21" x14ac:dyDescent="0.3">
      <c r="C160" t="str">
        <f>+C73</f>
        <v>Dep Acum PPE</v>
      </c>
      <c r="G160" s="4">
        <f>-D74</f>
        <v>-22319444.444444444</v>
      </c>
      <c r="H160" s="4">
        <f>+ESF!E20</f>
        <v>-48828125</v>
      </c>
    </row>
    <row r="161" spans="3:16" x14ac:dyDescent="0.3">
      <c r="H161" s="4"/>
    </row>
    <row r="163" spans="3:16" ht="15" thickBot="1" x14ac:dyDescent="0.35">
      <c r="C163" t="s">
        <v>221</v>
      </c>
      <c r="G163" s="5">
        <f>SUM(G152:G160)</f>
        <v>872640695.55555558</v>
      </c>
      <c r="H163" s="5">
        <f>SUM(H152:H160)</f>
        <v>1974036858.3333335</v>
      </c>
      <c r="O163" s="5">
        <f>SUM(O152:O160)</f>
        <v>872640695.55555558</v>
      </c>
      <c r="P163" s="5">
        <f>SUM(P152:P160)</f>
        <v>1974036858.3333333</v>
      </c>
    </row>
    <row r="164" spans="3:16" ht="15" thickTop="1" x14ac:dyDescent="0.3">
      <c r="O164" s="4">
        <f>+O163-G163</f>
        <v>0</v>
      </c>
      <c r="P164" s="4">
        <f>+P163-H163</f>
        <v>0</v>
      </c>
    </row>
    <row r="167" spans="3:16" x14ac:dyDescent="0.3">
      <c r="H167" s="4">
        <f>+H152-G152</f>
        <v>327933213.13333333</v>
      </c>
      <c r="P167" s="4">
        <f>+P152-O152</f>
        <v>-21025666.666666687</v>
      </c>
    </row>
    <row r="168" spans="3:16" x14ac:dyDescent="0.3">
      <c r="H168" s="4">
        <f t="shared" ref="H168:H169" si="13">+H153-G153</f>
        <v>530969960.00000012</v>
      </c>
      <c r="P168" s="4">
        <f>+P153-O153</f>
        <v>398212500</v>
      </c>
    </row>
    <row r="169" spans="3:16" x14ac:dyDescent="0.3">
      <c r="H169" s="4">
        <f t="shared" si="13"/>
        <v>-5348329.799999997</v>
      </c>
      <c r="P169" s="4">
        <f>+P154-O154</f>
        <v>112000000.00000001</v>
      </c>
    </row>
  </sheetData>
  <mergeCells count="36">
    <mergeCell ref="S31:T31"/>
    <mergeCell ref="S45:T45"/>
    <mergeCell ref="C31:D31"/>
    <mergeCell ref="G31:H31"/>
    <mergeCell ref="K31:L31"/>
    <mergeCell ref="O31:P31"/>
    <mergeCell ref="C45:D45"/>
    <mergeCell ref="G45:H45"/>
    <mergeCell ref="K45:L45"/>
    <mergeCell ref="O45:P45"/>
    <mergeCell ref="C17:D17"/>
    <mergeCell ref="G17:H17"/>
    <mergeCell ref="K17:L17"/>
    <mergeCell ref="O17:P17"/>
    <mergeCell ref="X3:AD3"/>
    <mergeCell ref="S3:T3"/>
    <mergeCell ref="S17:T17"/>
    <mergeCell ref="C3:D3"/>
    <mergeCell ref="G3:H3"/>
    <mergeCell ref="K3:L3"/>
    <mergeCell ref="O3:P3"/>
    <mergeCell ref="C59:D59"/>
    <mergeCell ref="G59:H59"/>
    <mergeCell ref="K59:L59"/>
    <mergeCell ref="O59:P59"/>
    <mergeCell ref="S59:T59"/>
    <mergeCell ref="C73:D73"/>
    <mergeCell ref="G73:H73"/>
    <mergeCell ref="K73:L73"/>
    <mergeCell ref="O73:P73"/>
    <mergeCell ref="S73:T73"/>
    <mergeCell ref="C87:D87"/>
    <mergeCell ref="G87:H87"/>
    <mergeCell ref="K87:L87"/>
    <mergeCell ref="O87:P87"/>
    <mergeCell ref="S87:T87"/>
  </mergeCells>
  <phoneticPr fontId="6" type="noConversion"/>
  <pageMargins left="0.70866141732283472" right="0.70866141732283472" top="0.74803149606299213" bottom="0.74803149606299213" header="0.31496062992125984" footer="0.31496062992125984"/>
  <pageSetup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Hoja1</vt:lpstr>
      <vt:lpstr>Libro Ventas</vt:lpstr>
      <vt:lpstr>Comp Ingresos</vt:lpstr>
      <vt:lpstr>Aux Clientes</vt:lpstr>
      <vt:lpstr>Libro de Compras</vt:lpstr>
      <vt:lpstr>Aux Proveedores</vt:lpstr>
      <vt:lpstr>Costos de Rem.</vt:lpstr>
      <vt:lpstr>Comp Egresos</vt:lpstr>
      <vt:lpstr>Registros Contables</vt:lpstr>
      <vt:lpstr>P.P.E.</vt:lpstr>
      <vt:lpstr>Ptmo Banco</vt:lpstr>
      <vt:lpstr>Capital</vt:lpstr>
      <vt:lpstr>Balance de Columnas</vt:lpstr>
      <vt:lpstr>ESF</vt:lpstr>
      <vt:lpstr>ER</vt:lpstr>
      <vt:lpstr>EFE D</vt:lpstr>
      <vt:lpstr>EFE NDIRECTO GRS</vt:lpstr>
      <vt:lpstr>EFE Indirecto</vt:lpstr>
      <vt:lpstr>'EFE NDIRECTO GRS'!Área_de_impresión</vt:lpstr>
      <vt:lpstr>'Registros Contables'!Área_de_impresión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Rebolledo</dc:creator>
  <cp:lastModifiedBy>Guillermo Rebolledo</cp:lastModifiedBy>
  <cp:lastPrinted>2024-03-13T23:48:56Z</cp:lastPrinted>
  <dcterms:created xsi:type="dcterms:W3CDTF">2024-03-12T23:33:43Z</dcterms:created>
  <dcterms:modified xsi:type="dcterms:W3CDTF">2024-03-14T22:34:35Z</dcterms:modified>
</cp:coreProperties>
</file>